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rodriguezb\Desktop\Contenido página web\Nuestra Entidad\Financiera\"/>
    </mc:Choice>
  </mc:AlternateContent>
  <workbookProtection workbookPassword="E11B" lockStructure="1"/>
  <bookViews>
    <workbookView xWindow="0" yWindow="0" windowWidth="28770" windowHeight="10815" activeTab="1"/>
  </bookViews>
  <sheets>
    <sheet name="EJECUCIÓN WEB" sheetId="5" r:id="rId1"/>
    <sheet name="METAS" sheetId="7" r:id="rId2"/>
    <sheet name="EJECUCIÓN" sheetId="3" state="hidden" r:id="rId3"/>
    <sheet name="TD-EPA RECURSO" sheetId="4" state="hidden" r:id="rId4"/>
    <sheet name="TD-EPA" sheetId="2" state="hidden" r:id="rId5"/>
    <sheet name="EPA - SIIF" sheetId="1" state="hidden" r:id="rId6"/>
    <sheet name="METAS EJEC. SIC - MINCIT" sheetId="6" state="hidden" r:id="rId7"/>
  </sheets>
  <externalReferences>
    <externalReference r:id="rId8"/>
    <externalReference r:id="rId9"/>
    <externalReference r:id="rId10"/>
  </externalReferences>
  <definedNames>
    <definedName name="_xlnm.Print_Area" localSheetId="1">METAS!$B$4:$J$28</definedName>
  </definedNames>
  <calcPr calcId="162913"/>
  <pivotCaches>
    <pivotCache cacheId="0" r:id="rId11"/>
    <pivotCache cacheId="1" r:id="rId12"/>
  </pivotCaches>
</workbook>
</file>

<file path=xl/calcChain.xml><?xml version="1.0" encoding="utf-8"?>
<calcChain xmlns="http://schemas.openxmlformats.org/spreadsheetml/2006/main">
  <c r="F41" i="5" l="1"/>
  <c r="A41" i="5"/>
  <c r="I41" i="5" s="1"/>
  <c r="A40" i="5"/>
  <c r="A39" i="5"/>
  <c r="F39" i="5" s="1"/>
  <c r="A38" i="5"/>
  <c r="A37" i="5"/>
  <c r="I37" i="5" s="1"/>
  <c r="A36" i="5"/>
  <c r="A35" i="5"/>
  <c r="A34" i="5"/>
  <c r="A33" i="5"/>
  <c r="A32" i="5"/>
  <c r="A31" i="5"/>
  <c r="A30" i="5"/>
  <c r="A29" i="5"/>
  <c r="A27" i="5"/>
  <c r="A26" i="5"/>
  <c r="A25" i="5"/>
  <c r="A24" i="5"/>
  <c r="A23" i="5"/>
  <c r="A22" i="5"/>
  <c r="A21" i="5"/>
  <c r="A20" i="5"/>
  <c r="A19" i="5"/>
  <c r="A18" i="5"/>
  <c r="A16" i="5"/>
  <c r="A15" i="5"/>
  <c r="A13" i="5"/>
  <c r="A12" i="5"/>
  <c r="A11" i="5"/>
  <c r="A10" i="5"/>
  <c r="G39" i="5" l="1"/>
  <c r="C39" i="5"/>
  <c r="B39" i="5"/>
  <c r="H39" i="5"/>
  <c r="D41" i="5"/>
  <c r="D39" i="5"/>
  <c r="B41" i="5"/>
  <c r="H41" i="5"/>
  <c r="I39" i="5"/>
  <c r="C41" i="5"/>
  <c r="I42" i="5"/>
  <c r="H42" i="5"/>
  <c r="F42" i="5"/>
  <c r="D42" i="5"/>
  <c r="C42" i="5"/>
  <c r="B42" i="5"/>
  <c r="H23" i="7"/>
  <c r="B4" i="5"/>
  <c r="X5" i="6"/>
  <c r="L5" i="6"/>
  <c r="H12" i="7" s="1"/>
  <c r="E42" i="5" l="1"/>
  <c r="W5" i="6"/>
  <c r="K5" i="6"/>
  <c r="V5" i="6" l="1"/>
  <c r="J5" i="6"/>
  <c r="E15" i="7"/>
  <c r="G42" i="5" l="1"/>
  <c r="N42" i="5"/>
  <c r="O42" i="5" s="1"/>
  <c r="L42" i="5"/>
  <c r="M42" i="5" s="1"/>
  <c r="J42" i="5"/>
  <c r="K42" i="5" s="1"/>
  <c r="U5" i="6"/>
  <c r="I5" i="6"/>
  <c r="T5" i="6" l="1"/>
  <c r="H5" i="6"/>
  <c r="G8" i="6" l="1"/>
  <c r="E16" i="7"/>
  <c r="R8" i="6" l="1"/>
  <c r="R5" i="6"/>
  <c r="F8" i="6"/>
  <c r="F5" i="6"/>
  <c r="D25" i="7"/>
  <c r="Q8" i="6" l="1"/>
  <c r="E8" i="6"/>
  <c r="Q5" i="6" l="1"/>
  <c r="E5" i="6"/>
  <c r="E13" i="7"/>
  <c r="E14" i="7"/>
  <c r="E26" i="7"/>
  <c r="E12" i="7" l="1"/>
  <c r="E17" i="7" s="1"/>
  <c r="D40" i="5"/>
  <c r="I38" i="5"/>
  <c r="H27" i="5"/>
  <c r="D26" i="5"/>
  <c r="I25" i="5"/>
  <c r="C40" i="5" l="1"/>
  <c r="F40" i="5"/>
  <c r="I40" i="5"/>
  <c r="H26" i="5"/>
  <c r="B40" i="5"/>
  <c r="H40" i="5"/>
  <c r="F26" i="5"/>
  <c r="B26" i="5"/>
  <c r="I26" i="5"/>
  <c r="C26" i="5"/>
  <c r="D27" i="5"/>
  <c r="C27" i="5"/>
  <c r="I27" i="5"/>
  <c r="F27" i="5"/>
  <c r="B27" i="5"/>
  <c r="D25" i="5"/>
  <c r="F25" i="5"/>
  <c r="B25" i="5"/>
  <c r="H25" i="5"/>
  <c r="C25" i="5"/>
  <c r="L25" i="5" s="1"/>
  <c r="M25" i="5" s="1"/>
  <c r="C36" i="3"/>
  <c r="E33" i="3"/>
  <c r="E36" i="3"/>
  <c r="F11" i="3"/>
  <c r="C18" i="3"/>
  <c r="C38" i="3"/>
  <c r="C30" i="3"/>
  <c r="D27" i="3"/>
  <c r="E38" i="3"/>
  <c r="D30" i="3"/>
  <c r="B8" i="3"/>
  <c r="C10" i="3"/>
  <c r="C25" i="7"/>
  <c r="E25" i="7"/>
  <c r="C27" i="7"/>
  <c r="E24" i="7"/>
  <c r="L10" i="3"/>
  <c r="B19" i="3"/>
  <c r="H8" i="3"/>
  <c r="B16" i="3"/>
  <c r="D10" i="3"/>
  <c r="C33" i="3"/>
  <c r="E30" i="3"/>
  <c r="D9" i="3"/>
  <c r="D19" i="3"/>
  <c r="J8" i="3"/>
  <c r="H9" i="3"/>
  <c r="C8" i="3"/>
  <c r="C37" i="3"/>
  <c r="D33" i="3"/>
  <c r="D37" i="3"/>
  <c r="C27" i="3"/>
  <c r="E27" i="7"/>
  <c r="C24" i="7"/>
  <c r="J10" i="3"/>
  <c r="C17" i="3"/>
  <c r="C16" i="3"/>
  <c r="B17" i="3"/>
  <c r="D18" i="3"/>
  <c r="C19" i="3"/>
  <c r="C11" i="3"/>
  <c r="D8" i="3"/>
  <c r="J9" i="3"/>
  <c r="H10" i="3"/>
  <c r="B9" i="3"/>
  <c r="L9" i="3"/>
  <c r="L8" i="3"/>
  <c r="E27" i="3"/>
  <c r="D36" i="3"/>
  <c r="E37" i="3"/>
  <c r="D38" i="3"/>
  <c r="D17" i="3"/>
  <c r="C26" i="7"/>
  <c r="D27" i="7"/>
  <c r="B10" i="3"/>
  <c r="F9" i="3"/>
  <c r="F8" i="3"/>
  <c r="D11" i="3"/>
  <c r="D26" i="7"/>
  <c r="B11" i="3"/>
  <c r="D24" i="7"/>
  <c r="D16" i="3"/>
  <c r="F10" i="3"/>
  <c r="B18" i="3"/>
  <c r="C9" i="3"/>
  <c r="X8" i="6" l="1"/>
  <c r="H27" i="7" s="1"/>
  <c r="U8" i="6"/>
  <c r="T8" i="6"/>
  <c r="E25" i="5"/>
  <c r="F26" i="7"/>
  <c r="N26" i="5"/>
  <c r="O26" i="5" s="1"/>
  <c r="L26" i="5"/>
  <c r="M26" i="5" s="1"/>
  <c r="G26" i="5"/>
  <c r="J26" i="5"/>
  <c r="K26" i="5" s="1"/>
  <c r="E26" i="5"/>
  <c r="L27" i="5"/>
  <c r="M27" i="5" s="1"/>
  <c r="J27" i="5"/>
  <c r="K27" i="5" s="1"/>
  <c r="E27" i="5"/>
  <c r="N27" i="5"/>
  <c r="O27" i="5" s="1"/>
  <c r="G27" i="5"/>
  <c r="J25" i="5"/>
  <c r="K25" i="5" s="1"/>
  <c r="G25" i="5"/>
  <c r="N25" i="5"/>
  <c r="O25" i="5" s="1"/>
  <c r="B7" i="3"/>
  <c r="I10" i="5"/>
  <c r="I11" i="5"/>
  <c r="I12" i="5"/>
  <c r="I13" i="5"/>
  <c r="I15" i="5"/>
  <c r="I16" i="5"/>
  <c r="I18" i="5"/>
  <c r="I19" i="5"/>
  <c r="I20" i="5"/>
  <c r="I21" i="5"/>
  <c r="I22" i="5"/>
  <c r="I23" i="5"/>
  <c r="I24" i="5"/>
  <c r="I29" i="5"/>
  <c r="I30" i="5"/>
  <c r="I31" i="5"/>
  <c r="I32" i="5"/>
  <c r="I33" i="5"/>
  <c r="I34" i="5"/>
  <c r="I35" i="5"/>
  <c r="I36" i="5"/>
  <c r="H29" i="5"/>
  <c r="H30" i="5"/>
  <c r="H31" i="5"/>
  <c r="H32" i="5"/>
  <c r="H33" i="5"/>
  <c r="H34" i="5"/>
  <c r="H35" i="5"/>
  <c r="H36" i="5"/>
  <c r="H37" i="5"/>
  <c r="H38" i="5"/>
  <c r="B24" i="5"/>
  <c r="C24" i="5"/>
  <c r="D24" i="5"/>
  <c r="F24" i="5"/>
  <c r="H24" i="5"/>
  <c r="F30" i="5"/>
  <c r="F31" i="5"/>
  <c r="F32" i="5"/>
  <c r="F33" i="5"/>
  <c r="F34" i="5"/>
  <c r="F35" i="5"/>
  <c r="F36" i="5"/>
  <c r="F37" i="5"/>
  <c r="F38" i="5"/>
  <c r="F29" i="5"/>
  <c r="C30" i="5"/>
  <c r="D30" i="5"/>
  <c r="C31" i="5"/>
  <c r="D31" i="5"/>
  <c r="C32" i="5"/>
  <c r="D32" i="5"/>
  <c r="C33" i="5"/>
  <c r="D33" i="5"/>
  <c r="C34" i="5"/>
  <c r="D34" i="5"/>
  <c r="C35" i="5"/>
  <c r="N35" i="5" s="1"/>
  <c r="O35" i="5" s="1"/>
  <c r="D35" i="5"/>
  <c r="C36" i="5"/>
  <c r="D36" i="5"/>
  <c r="C37" i="5"/>
  <c r="D37" i="5"/>
  <c r="C38" i="5"/>
  <c r="D38" i="5"/>
  <c r="D29" i="5"/>
  <c r="C29" i="5"/>
  <c r="B30" i="5"/>
  <c r="B31" i="5"/>
  <c r="B32" i="5"/>
  <c r="B33" i="5"/>
  <c r="B34" i="5"/>
  <c r="B35" i="5"/>
  <c r="B36" i="5"/>
  <c r="B37" i="5"/>
  <c r="B38" i="5"/>
  <c r="B29" i="5"/>
  <c r="H23" i="5"/>
  <c r="H22" i="5"/>
  <c r="H21" i="5"/>
  <c r="H20" i="5"/>
  <c r="H19" i="5"/>
  <c r="H18" i="5"/>
  <c r="F23" i="5"/>
  <c r="F22" i="5"/>
  <c r="F21" i="5"/>
  <c r="F20" i="5"/>
  <c r="F19" i="5"/>
  <c r="F18" i="5"/>
  <c r="D23" i="5"/>
  <c r="C23" i="5"/>
  <c r="B23" i="5"/>
  <c r="D22" i="5"/>
  <c r="C22" i="5"/>
  <c r="B22" i="5"/>
  <c r="D21" i="5"/>
  <c r="C21" i="5"/>
  <c r="B21" i="5"/>
  <c r="D20" i="5"/>
  <c r="C20" i="5"/>
  <c r="B20" i="5"/>
  <c r="D19" i="5"/>
  <c r="C19" i="5"/>
  <c r="B19" i="5"/>
  <c r="D18" i="5"/>
  <c r="C18" i="5"/>
  <c r="B18" i="5"/>
  <c r="H16" i="5"/>
  <c r="H15" i="5"/>
  <c r="F16" i="5"/>
  <c r="F15" i="5"/>
  <c r="D16" i="5"/>
  <c r="C16" i="5"/>
  <c r="D15" i="5"/>
  <c r="C15" i="5"/>
  <c r="B16" i="5"/>
  <c r="B15" i="5"/>
  <c r="H11" i="5"/>
  <c r="H12" i="5"/>
  <c r="H13" i="5"/>
  <c r="F11" i="5"/>
  <c r="F12" i="5"/>
  <c r="F13" i="5"/>
  <c r="B11" i="5"/>
  <c r="C11" i="5"/>
  <c r="D11" i="5"/>
  <c r="B12" i="5"/>
  <c r="C12" i="5"/>
  <c r="D12" i="5"/>
  <c r="B13" i="5"/>
  <c r="C13" i="5"/>
  <c r="D13" i="5"/>
  <c r="H10" i="5"/>
  <c r="F10" i="5"/>
  <c r="D10" i="5"/>
  <c r="C10" i="5"/>
  <c r="B10" i="5"/>
  <c r="F28" i="3"/>
  <c r="G28" i="3"/>
  <c r="F29" i="3"/>
  <c r="G29" i="3"/>
  <c r="F31" i="3"/>
  <c r="G31" i="3"/>
  <c r="F32" i="3"/>
  <c r="G32" i="3"/>
  <c r="F34" i="3"/>
  <c r="G34" i="3"/>
  <c r="F35" i="3"/>
  <c r="G35" i="3"/>
  <c r="E26" i="3"/>
  <c r="G26" i="3" s="1"/>
  <c r="E25" i="3"/>
  <c r="D26" i="3"/>
  <c r="F26" i="3" s="1"/>
  <c r="D25" i="3"/>
  <c r="C26" i="3"/>
  <c r="D14" i="7"/>
  <c r="D16" i="7"/>
  <c r="C13" i="7"/>
  <c r="C15" i="7"/>
  <c r="D15" i="7"/>
  <c r="J11" i="3"/>
  <c r="H11" i="3"/>
  <c r="D13" i="7"/>
  <c r="C16" i="7"/>
  <c r="C14" i="7"/>
  <c r="L11" i="3"/>
  <c r="L8" i="6" l="1"/>
  <c r="H16" i="7" s="1"/>
  <c r="C28" i="5"/>
  <c r="I28" i="5"/>
  <c r="B28" i="5"/>
  <c r="D28" i="5"/>
  <c r="H28" i="5"/>
  <c r="F28" i="5"/>
  <c r="I8" i="6"/>
  <c r="H8" i="6"/>
  <c r="F16" i="7"/>
  <c r="E22" i="5"/>
  <c r="G16" i="5"/>
  <c r="C17" i="5"/>
  <c r="F17" i="5"/>
  <c r="I17" i="5"/>
  <c r="B17" i="5"/>
  <c r="H17" i="5"/>
  <c r="D17" i="5"/>
  <c r="G21" i="5"/>
  <c r="E20" i="5"/>
  <c r="J38" i="5"/>
  <c r="J34" i="5"/>
  <c r="K34" i="5" s="1"/>
  <c r="J30" i="5"/>
  <c r="K30" i="5" s="1"/>
  <c r="G40" i="5"/>
  <c r="N19" i="5"/>
  <c r="O19" i="5" s="1"/>
  <c r="J21" i="5"/>
  <c r="K21" i="5" s="1"/>
  <c r="E29" i="5"/>
  <c r="J41" i="5"/>
  <c r="K41" i="5" s="1"/>
  <c r="N21" i="5"/>
  <c r="O21" i="5" s="1"/>
  <c r="J37" i="5"/>
  <c r="J33" i="5"/>
  <c r="K33" i="5" s="1"/>
  <c r="G18" i="5"/>
  <c r="E16" i="5"/>
  <c r="J16" i="5"/>
  <c r="K16" i="5" s="1"/>
  <c r="C14" i="5"/>
  <c r="N15" i="5"/>
  <c r="O15" i="5" s="1"/>
  <c r="L40" i="5"/>
  <c r="M40" i="5" s="1"/>
  <c r="J20" i="5"/>
  <c r="K20" i="5" s="1"/>
  <c r="G11" i="5"/>
  <c r="L13" i="5"/>
  <c r="M13" i="5" s="1"/>
  <c r="G13" i="5"/>
  <c r="G25" i="3"/>
  <c r="F25" i="3"/>
  <c r="B9" i="5"/>
  <c r="L15" i="5"/>
  <c r="L19" i="5"/>
  <c r="M19" i="5" s="1"/>
  <c r="J19" i="5"/>
  <c r="K19" i="5" s="1"/>
  <c r="L31" i="5"/>
  <c r="M31" i="5" s="1"/>
  <c r="N18" i="5"/>
  <c r="J40" i="5"/>
  <c r="K40" i="5" s="1"/>
  <c r="E13" i="5"/>
  <c r="N13" i="5"/>
  <c r="O13" i="5" s="1"/>
  <c r="N10" i="5"/>
  <c r="O10" i="5" s="1"/>
  <c r="J15" i="5"/>
  <c r="K15" i="5" s="1"/>
  <c r="I14" i="5"/>
  <c r="N40" i="5"/>
  <c r="O40" i="5" s="1"/>
  <c r="F14" i="5"/>
  <c r="G22" i="5"/>
  <c r="N24" i="5"/>
  <c r="O24" i="5" s="1"/>
  <c r="I9" i="5"/>
  <c r="N36" i="5"/>
  <c r="O36" i="5" s="1"/>
  <c r="G36" i="5"/>
  <c r="N37" i="5"/>
  <c r="E19" i="5"/>
  <c r="L30" i="5"/>
  <c r="M30" i="5" s="1"/>
  <c r="G19" i="5"/>
  <c r="G12" i="5"/>
  <c r="N16" i="5"/>
  <c r="O16" i="5" s="1"/>
  <c r="E18" i="5"/>
  <c r="E32" i="5"/>
  <c r="N32" i="5"/>
  <c r="O32" i="5" s="1"/>
  <c r="L21" i="5"/>
  <c r="M21" i="5" s="1"/>
  <c r="E21" i="5"/>
  <c r="G32" i="5"/>
  <c r="J12" i="5"/>
  <c r="K12" i="5" s="1"/>
  <c r="N12" i="5"/>
  <c r="O12" i="5" s="1"/>
  <c r="L12" i="5"/>
  <c r="M12" i="5" s="1"/>
  <c r="M15" i="5"/>
  <c r="J18" i="5"/>
  <c r="G10" i="5"/>
  <c r="L16" i="5"/>
  <c r="M16" i="5" s="1"/>
  <c r="J13" i="5"/>
  <c r="K13" i="5" s="1"/>
  <c r="B14" i="5"/>
  <c r="D14" i="5"/>
  <c r="H14" i="5"/>
  <c r="J36" i="5"/>
  <c r="K36" i="5" s="1"/>
  <c r="J32" i="5"/>
  <c r="K32" i="5" s="1"/>
  <c r="E12" i="5"/>
  <c r="E11" i="5"/>
  <c r="E15" i="5"/>
  <c r="L38" i="5"/>
  <c r="L36" i="5"/>
  <c r="M36" i="5" s="1"/>
  <c r="L32" i="5"/>
  <c r="M32" i="5" s="1"/>
  <c r="E30" i="5"/>
  <c r="G34" i="5"/>
  <c r="E24" i="5"/>
  <c r="N41" i="5"/>
  <c r="O41" i="5" s="1"/>
  <c r="G37" i="3"/>
  <c r="E40" i="3"/>
  <c r="E41" i="3"/>
  <c r="G38" i="3"/>
  <c r="F33" i="3"/>
  <c r="C41" i="3"/>
  <c r="C24" i="3"/>
  <c r="C39" i="3" s="1"/>
  <c r="G30" i="3"/>
  <c r="F37" i="3"/>
  <c r="D40" i="3"/>
  <c r="G33" i="3"/>
  <c r="G36" i="3"/>
  <c r="F30" i="3"/>
  <c r="E24" i="3"/>
  <c r="G27" i="3"/>
  <c r="F36" i="3"/>
  <c r="D24" i="3"/>
  <c r="F27" i="3"/>
  <c r="F38" i="3"/>
  <c r="D41" i="3"/>
  <c r="C40" i="3"/>
  <c r="C15" i="3"/>
  <c r="C20" i="3" s="1"/>
  <c r="B15" i="3"/>
  <c r="B20" i="3" s="1"/>
  <c r="C12" i="7"/>
  <c r="C17" i="7" s="1"/>
  <c r="G10" i="3"/>
  <c r="E9" i="3"/>
  <c r="E17" i="3"/>
  <c r="K9" i="3"/>
  <c r="D12" i="7"/>
  <c r="G12" i="7" s="1"/>
  <c r="I11" i="3"/>
  <c r="J18" i="3"/>
  <c r="K18" i="3" s="1"/>
  <c r="F18" i="3"/>
  <c r="G18" i="3" s="1"/>
  <c r="H18" i="3"/>
  <c r="I18" i="3" s="1"/>
  <c r="M10" i="3"/>
  <c r="J17" i="3"/>
  <c r="K17" i="3" s="1"/>
  <c r="F17" i="3"/>
  <c r="G17" i="3" s="1"/>
  <c r="H17" i="3"/>
  <c r="I17" i="3" s="1"/>
  <c r="E11" i="3"/>
  <c r="E18" i="3"/>
  <c r="M11" i="3"/>
  <c r="G11" i="3"/>
  <c r="F24" i="7"/>
  <c r="E23" i="7"/>
  <c r="F13" i="7"/>
  <c r="M9" i="3"/>
  <c r="E16" i="3"/>
  <c r="D15" i="3"/>
  <c r="J16" i="3"/>
  <c r="C7" i="3"/>
  <c r="C12" i="3" s="1"/>
  <c r="H16" i="3"/>
  <c r="F16" i="3"/>
  <c r="K11" i="3"/>
  <c r="E19" i="3"/>
  <c r="I9" i="3"/>
  <c r="E10" i="3"/>
  <c r="I8" i="3"/>
  <c r="H7" i="3"/>
  <c r="F25" i="7"/>
  <c r="F15" i="7"/>
  <c r="L7" i="3"/>
  <c r="M8" i="3"/>
  <c r="E8" i="3"/>
  <c r="D7" i="3"/>
  <c r="G9" i="3"/>
  <c r="I10" i="3"/>
  <c r="B12" i="3"/>
  <c r="K10" i="3"/>
  <c r="G8" i="3"/>
  <c r="F7" i="3"/>
  <c r="H19" i="3"/>
  <c r="I19" i="3" s="1"/>
  <c r="J19" i="3"/>
  <c r="K19" i="3" s="1"/>
  <c r="F19" i="3"/>
  <c r="G19" i="3" s="1"/>
  <c r="J7" i="3"/>
  <c r="K8" i="3"/>
  <c r="D23" i="7"/>
  <c r="C23" i="7"/>
  <c r="C28" i="7" s="1"/>
  <c r="F27" i="7"/>
  <c r="F14" i="7"/>
  <c r="L39" i="5"/>
  <c r="M39" i="5" s="1"/>
  <c r="E39" i="5"/>
  <c r="N39" i="5"/>
  <c r="O39" i="5" s="1"/>
  <c r="J39" i="5"/>
  <c r="K39" i="5" s="1"/>
  <c r="L37" i="5"/>
  <c r="J35" i="5"/>
  <c r="K35" i="5" s="1"/>
  <c r="L35" i="5"/>
  <c r="M35" i="5" s="1"/>
  <c r="E35" i="5"/>
  <c r="E33" i="5"/>
  <c r="L33" i="5"/>
  <c r="M33" i="5" s="1"/>
  <c r="N33" i="5"/>
  <c r="O33" i="5" s="1"/>
  <c r="G33" i="5"/>
  <c r="N31" i="5"/>
  <c r="O31" i="5" s="1"/>
  <c r="E31" i="5"/>
  <c r="J31" i="5"/>
  <c r="K31" i="5" s="1"/>
  <c r="G35" i="5"/>
  <c r="G31" i="5"/>
  <c r="D9" i="5"/>
  <c r="E10" i="5"/>
  <c r="L18" i="5"/>
  <c r="J23" i="5"/>
  <c r="K23" i="5" s="1"/>
  <c r="G23" i="5"/>
  <c r="L23" i="5"/>
  <c r="M23" i="5" s="1"/>
  <c r="E23" i="5"/>
  <c r="N23" i="5"/>
  <c r="O23" i="5" s="1"/>
  <c r="G20" i="5"/>
  <c r="N29" i="5"/>
  <c r="L29" i="5"/>
  <c r="G29" i="5"/>
  <c r="G30" i="5"/>
  <c r="L24" i="5"/>
  <c r="M24" i="5" s="1"/>
  <c r="E36" i="5"/>
  <c r="N34" i="5"/>
  <c r="O34" i="5" s="1"/>
  <c r="N30" i="5"/>
  <c r="O30" i="5" s="1"/>
  <c r="J29" i="5"/>
  <c r="F9" i="5"/>
  <c r="L20" i="5"/>
  <c r="M20" i="5" s="1"/>
  <c r="N20" i="5"/>
  <c r="O20" i="5" s="1"/>
  <c r="N22" i="5"/>
  <c r="O22" i="5" s="1"/>
  <c r="J22" i="5"/>
  <c r="L22" i="5"/>
  <c r="M22" i="5" s="1"/>
  <c r="J24" i="5"/>
  <c r="K24" i="5" s="1"/>
  <c r="E40" i="5"/>
  <c r="L34" i="5"/>
  <c r="M34" i="5" s="1"/>
  <c r="E34" i="5"/>
  <c r="N38" i="5"/>
  <c r="L10" i="5"/>
  <c r="C9" i="5"/>
  <c r="J10" i="5"/>
  <c r="J11" i="5"/>
  <c r="K11" i="5" s="1"/>
  <c r="L11" i="5"/>
  <c r="M11" i="5" s="1"/>
  <c r="N11" i="5"/>
  <c r="O11" i="5" s="1"/>
  <c r="H9" i="5"/>
  <c r="G15" i="5"/>
  <c r="L41" i="5"/>
  <c r="M41" i="5" s="1"/>
  <c r="G41" i="5"/>
  <c r="E41" i="5"/>
  <c r="G24" i="5"/>
  <c r="E28" i="5" l="1"/>
  <c r="N28" i="5"/>
  <c r="O28" i="5" s="1"/>
  <c r="J28" i="5"/>
  <c r="K28" i="5" s="1"/>
  <c r="L28" i="5"/>
  <c r="M28" i="5" s="1"/>
  <c r="C42" i="3"/>
  <c r="F41" i="3"/>
  <c r="L17" i="5"/>
  <c r="M17" i="5" s="1"/>
  <c r="K18" i="5"/>
  <c r="J17" i="5"/>
  <c r="K17" i="5" s="1"/>
  <c r="N17" i="5"/>
  <c r="O18" i="5"/>
  <c r="J14" i="5"/>
  <c r="K14" i="5" s="1"/>
  <c r="C8" i="5"/>
  <c r="E14" i="5"/>
  <c r="H8" i="5"/>
  <c r="H43" i="5" s="1"/>
  <c r="H44" i="5" s="1"/>
  <c r="G14" i="5"/>
  <c r="N14" i="5"/>
  <c r="O14" i="5" s="1"/>
  <c r="G28" i="5"/>
  <c r="B8" i="5"/>
  <c r="B43" i="5" s="1"/>
  <c r="B44" i="5" s="1"/>
  <c r="I8" i="5"/>
  <c r="I43" i="5" s="1"/>
  <c r="I44" i="5" s="1"/>
  <c r="G41" i="3"/>
  <c r="G17" i="5"/>
  <c r="L14" i="5"/>
  <c r="M14" i="5" s="1"/>
  <c r="E17" i="5"/>
  <c r="E39" i="3"/>
  <c r="G24" i="3"/>
  <c r="F40" i="3"/>
  <c r="G40" i="3"/>
  <c r="F24" i="3"/>
  <c r="D39" i="3"/>
  <c r="L9" i="5"/>
  <c r="M10" i="5"/>
  <c r="O29" i="5"/>
  <c r="M18" i="5"/>
  <c r="M7" i="3"/>
  <c r="L12" i="3"/>
  <c r="M12" i="3" s="1"/>
  <c r="I7" i="3"/>
  <c r="H12" i="3"/>
  <c r="I12" i="3" s="1"/>
  <c r="K29" i="5"/>
  <c r="G23" i="7"/>
  <c r="D28" i="7"/>
  <c r="E7" i="3"/>
  <c r="D12" i="3"/>
  <c r="E12" i="3" s="1"/>
  <c r="K16" i="3"/>
  <c r="J15" i="3"/>
  <c r="K10" i="5"/>
  <c r="J9" i="5"/>
  <c r="N9" i="5"/>
  <c r="G16" i="3"/>
  <c r="F15" i="3"/>
  <c r="E15" i="3"/>
  <c r="D20" i="3"/>
  <c r="E20" i="3" s="1"/>
  <c r="F12" i="7"/>
  <c r="I12" i="7" s="1"/>
  <c r="K22" i="5"/>
  <c r="F8" i="5"/>
  <c r="G9" i="5"/>
  <c r="M29" i="5"/>
  <c r="O17" i="5"/>
  <c r="E9" i="5"/>
  <c r="D8" i="5"/>
  <c r="J12" i="3"/>
  <c r="K12" i="3" s="1"/>
  <c r="K7" i="3"/>
  <c r="G7" i="3"/>
  <c r="F12" i="3"/>
  <c r="G12" i="3" s="1"/>
  <c r="H15" i="3"/>
  <c r="I16" i="3"/>
  <c r="E28" i="7"/>
  <c r="F23" i="7"/>
  <c r="I23" i="7" s="1"/>
  <c r="D17" i="7"/>
  <c r="F17" i="7" s="1"/>
  <c r="J12" i="7"/>
  <c r="F28" i="7" l="1"/>
  <c r="C43" i="5"/>
  <c r="C44" i="5" s="1"/>
  <c r="J23" i="7"/>
  <c r="F39" i="3"/>
  <c r="D42" i="3"/>
  <c r="F42" i="3" s="1"/>
  <c r="G39" i="3"/>
  <c r="E42" i="3"/>
  <c r="G42" i="3" s="1"/>
  <c r="D43" i="5"/>
  <c r="E8" i="5"/>
  <c r="J8" i="5"/>
  <c r="K9" i="5"/>
  <c r="G15" i="3"/>
  <c r="F20" i="3"/>
  <c r="G20" i="3" s="1"/>
  <c r="G8" i="5"/>
  <c r="F43" i="5"/>
  <c r="K15" i="3"/>
  <c r="J20" i="3"/>
  <c r="K20" i="3" s="1"/>
  <c r="I15" i="3"/>
  <c r="H20" i="3"/>
  <c r="I20" i="3" s="1"/>
  <c r="N8" i="5"/>
  <c r="O9" i="5"/>
  <c r="M9" i="5"/>
  <c r="L8" i="5"/>
  <c r="G44" i="5" l="1"/>
  <c r="F44" i="5"/>
  <c r="G43" i="5"/>
  <c r="N43" i="5"/>
  <c r="N44" i="5" s="1"/>
  <c r="O8" i="5"/>
  <c r="J43" i="5"/>
  <c r="K8" i="5"/>
  <c r="M8" i="5"/>
  <c r="L43" i="5"/>
  <c r="L44" i="5" s="1"/>
  <c r="E44" i="5"/>
  <c r="E43" i="5"/>
  <c r="D44" i="5"/>
  <c r="K43" i="5" l="1"/>
  <c r="K44" i="5"/>
  <c r="J44" i="5"/>
  <c r="M43" i="5"/>
  <c r="M44" i="5"/>
  <c r="O43" i="5"/>
  <c r="O44" i="5"/>
  <c r="W8" i="6" l="1"/>
  <c r="K8" i="6"/>
  <c r="J8" i="6"/>
  <c r="G16" i="7" l="1"/>
  <c r="I16" i="7"/>
  <c r="G27" i="7"/>
  <c r="I27" i="7"/>
  <c r="V8" i="6"/>
  <c r="J27" i="7" l="1"/>
  <c r="G28" i="7"/>
  <c r="X11" i="6" s="1"/>
  <c r="H28" i="7" s="1"/>
  <c r="G17" i="7"/>
  <c r="J16" i="7"/>
  <c r="L11" i="6" l="1"/>
  <c r="H17" i="7" s="1"/>
  <c r="J17" i="7"/>
  <c r="K11" i="6"/>
  <c r="J11" i="6"/>
  <c r="E11" i="6"/>
  <c r="G11" i="6"/>
  <c r="I11" i="6"/>
  <c r="F11" i="6"/>
  <c r="H11" i="6"/>
  <c r="W11" i="6"/>
  <c r="R11" i="6"/>
  <c r="S11" i="6"/>
  <c r="T11" i="6"/>
  <c r="J28" i="7"/>
  <c r="V11" i="6"/>
  <c r="U11" i="6"/>
  <c r="Q11" i="6"/>
  <c r="I28" i="7" l="1"/>
  <c r="I17" i="7"/>
</calcChain>
</file>

<file path=xl/comments1.xml><?xml version="1.0" encoding="utf-8"?>
<comments xmlns="http://schemas.openxmlformats.org/spreadsheetml/2006/main">
  <authors>
    <author>Cesar Augusto Montaño Patarroyo</author>
  </authors>
  <commentList>
    <comment ref="G10" authorId="0" shapeId="0">
      <text>
        <r>
          <rPr>
            <b/>
            <sz val="9"/>
            <color indexed="81"/>
            <rFont val="Tahoma"/>
            <family val="2"/>
          </rPr>
          <t>Cesar Augusto Montaño Patarroyo:</t>
        </r>
        <r>
          <rPr>
            <sz val="9"/>
            <color indexed="81"/>
            <rFont val="Tahoma"/>
            <family val="2"/>
          </rPr>
          <t xml:space="preserve">
La meta evaluada, de acuerdo al compromiso de desempeño concertado con el MINCIT, se establece en función del valor porcentual de la meta. Para obtener la cifra monetaria será función de la meta porcentual y de la aprop. vigente.</t>
        </r>
      </text>
    </comment>
  </commentList>
</comments>
</file>

<file path=xl/sharedStrings.xml><?xml version="1.0" encoding="utf-8"?>
<sst xmlns="http://schemas.openxmlformats.org/spreadsheetml/2006/main" count="885" uniqueCount="221">
  <si>
    <t>Año Fiscal:</t>
  </si>
  <si>
    <t/>
  </si>
  <si>
    <t>Vigencia:</t>
  </si>
  <si>
    <t>Actual</t>
  </si>
  <si>
    <t>Periodo:</t>
  </si>
  <si>
    <t>Marzo</t>
  </si>
  <si>
    <t>UEJ</t>
  </si>
  <si>
    <t>NOMBRE UEJ</t>
  </si>
  <si>
    <t>RUBRO</t>
  </si>
  <si>
    <t>TIPO</t>
  </si>
  <si>
    <t>CTA</t>
  </si>
  <si>
    <t>SUB
CTA</t>
  </si>
  <si>
    <t>OBJ</t>
  </si>
  <si>
    <t>ORD</t>
  </si>
  <si>
    <t>SOR
ORD</t>
  </si>
  <si>
    <t>ITEM</t>
  </si>
  <si>
    <t>SUB
ITEM</t>
  </si>
  <si>
    <t>FUENTE</t>
  </si>
  <si>
    <t>REC</t>
  </si>
  <si>
    <t>SIT</t>
  </si>
  <si>
    <t>DESCRIPCION</t>
  </si>
  <si>
    <t>APR. INICIAL</t>
  </si>
  <si>
    <t>APR. ADICIONADA</t>
  </si>
  <si>
    <t>APR. REDUCIDA</t>
  </si>
  <si>
    <t>APR. VIGENTE</t>
  </si>
  <si>
    <t>APR BLOQUEADA</t>
  </si>
  <si>
    <t>CDP</t>
  </si>
  <si>
    <t>APR. DISPONIBLE</t>
  </si>
  <si>
    <t>COMPROMISO</t>
  </si>
  <si>
    <t>OBLIGACION</t>
  </si>
  <si>
    <t>ORDEN PAGO</t>
  </si>
  <si>
    <t>PAGOS</t>
  </si>
  <si>
    <t>35-03-00</t>
  </si>
  <si>
    <t>SUPERINTENDENCIA DE INDUSTRIA Y COMERCIO</t>
  </si>
  <si>
    <t>A</t>
  </si>
  <si>
    <t>Propios</t>
  </si>
  <si>
    <t>20</t>
  </si>
  <si>
    <t>CSF</t>
  </si>
  <si>
    <t>4</t>
  </si>
  <si>
    <t>5</t>
  </si>
  <si>
    <t>9</t>
  </si>
  <si>
    <t>10</t>
  </si>
  <si>
    <t>ORGANIZACION PARA LA COOPERACION Y EL DESARROLLO ECONOMICO OCDE-ARTICULO 47 LEY 1450 DE 2011</t>
  </si>
  <si>
    <t>CONVENCION DEL METRO - OFICINA INTERNACIONAL DE PESAS Y MEDIDAS - BIPM. LEY 1512 DE 2012</t>
  </si>
  <si>
    <t>6</t>
  </si>
  <si>
    <t>C</t>
  </si>
  <si>
    <t>3503</t>
  </si>
  <si>
    <t>0200</t>
  </si>
  <si>
    <t>21</t>
  </si>
  <si>
    <t>Nación</t>
  </si>
  <si>
    <t>7</t>
  </si>
  <si>
    <t>8</t>
  </si>
  <si>
    <t>3599</t>
  </si>
  <si>
    <t>Etiquetas de fila</t>
  </si>
  <si>
    <t>Total general</t>
  </si>
  <si>
    <t>Suma de APR. INICIAL</t>
  </si>
  <si>
    <t>Suma de APR. VIGENTE</t>
  </si>
  <si>
    <t>Suma de COMPROMISO</t>
  </si>
  <si>
    <t>Suma de OBLIGACION</t>
  </si>
  <si>
    <t>Suma de PAGOS</t>
  </si>
  <si>
    <t>TOTAL</t>
  </si>
  <si>
    <t>Etiquetas de columna</t>
  </si>
  <si>
    <t>Total Suma de APR. VIGENTE</t>
  </si>
  <si>
    <t>Total Suma de COMPROMISO</t>
  </si>
  <si>
    <t>Total Suma de OBLIGACION</t>
  </si>
  <si>
    <t>COMPROMISOS</t>
  </si>
  <si>
    <t>INFORME DE EJECUCIÓN PRESUPUESTAL</t>
  </si>
  <si>
    <t>DIRECCIÓN FINANCIERA</t>
  </si>
  <si>
    <t>CONCEPTO</t>
  </si>
  <si>
    <t>APROP. INICIAL</t>
  </si>
  <si>
    <t>APROP. VIGENTE</t>
  </si>
  <si>
    <t>APROP. BLOQUEADA</t>
  </si>
  <si>
    <t>% APR. BLOQ.</t>
  </si>
  <si>
    <t>% CDP</t>
  </si>
  <si>
    <t>% COMPROM.</t>
  </si>
  <si>
    <t>% OBLIGAC.</t>
  </si>
  <si>
    <t>% PAGO</t>
  </si>
  <si>
    <t>APROP. SIN CDP</t>
  </si>
  <si>
    <t>% APR. SIN CDP</t>
  </si>
  <si>
    <t>APROP. SIN COMPROM.</t>
  </si>
  <si>
    <t>% APR. SIN COMPR.</t>
  </si>
  <si>
    <t>APROP. SIN OBLIGA.</t>
  </si>
  <si>
    <t>% APR. SIN OBLIG.</t>
  </si>
  <si>
    <t>Gastos de Funcionamiento</t>
  </si>
  <si>
    <t>Gastos de Personal</t>
  </si>
  <si>
    <t>Gastos Generales</t>
  </si>
  <si>
    <t>Transferencias Corrientes</t>
  </si>
  <si>
    <t>Inversión</t>
  </si>
  <si>
    <t>Suma de APR BLOQUEADA</t>
  </si>
  <si>
    <t>Suma de CDP</t>
  </si>
  <si>
    <t>RECURSO</t>
  </si>
  <si>
    <t>PROPIOS - 20</t>
  </si>
  <si>
    <t>PROPIOS - 21</t>
  </si>
  <si>
    <t>NACIÓN - 10</t>
  </si>
  <si>
    <t>% OBLIG.</t>
  </si>
  <si>
    <t>TOTAL RECURSO</t>
  </si>
  <si>
    <t>SISTEMA INTEGRADO DE INFORMACIÓN FINANCIERA - SIIF NACIÓN</t>
  </si>
  <si>
    <t xml:space="preserve"> APR. INICIAL</t>
  </si>
  <si>
    <t xml:space="preserve"> APR. VIGENTE</t>
  </si>
  <si>
    <t xml:space="preserve"> COMPROMISO</t>
  </si>
  <si>
    <t>% 
COMPROMISO</t>
  </si>
  <si>
    <t xml:space="preserve"> OBLIGACION</t>
  </si>
  <si>
    <t>% OBLIGADO</t>
  </si>
  <si>
    <t xml:space="preserve"> PAGOS</t>
  </si>
  <si>
    <t>% APROP. SIN CDP</t>
  </si>
  <si>
    <t>APROP. SIN COMPROMETER</t>
  </si>
  <si>
    <t xml:space="preserve">% APROP. SIN COMPROMETER </t>
  </si>
  <si>
    <t>APROP. SIN OBLIGAR</t>
  </si>
  <si>
    <t>% APROP. SIN OBLIGAR</t>
  </si>
  <si>
    <t>Gastos de Inversión</t>
  </si>
  <si>
    <t>Compromisos</t>
  </si>
  <si>
    <t>Obligaciones</t>
  </si>
  <si>
    <t>Enero</t>
  </si>
  <si>
    <t>Febrero</t>
  </si>
  <si>
    <t>Abril</t>
  </si>
  <si>
    <t>Mayo</t>
  </si>
  <si>
    <t>Junio</t>
  </si>
  <si>
    <t>Julio</t>
  </si>
  <si>
    <t>Agosto</t>
  </si>
  <si>
    <t>Septiembre</t>
  </si>
  <si>
    <t>Octubre</t>
  </si>
  <si>
    <t>Noviembre</t>
  </si>
  <si>
    <t>Diciembre</t>
  </si>
  <si>
    <t>FUNCIONAMIENTO</t>
  </si>
  <si>
    <t>INVERSIÓN</t>
  </si>
  <si>
    <t>SIIF NACIÓN</t>
  </si>
  <si>
    <t>META MINCIT</t>
  </si>
  <si>
    <t>$</t>
  </si>
  <si>
    <t>%</t>
  </si>
  <si>
    <t>AVANCE META</t>
  </si>
  <si>
    <t>OBLIGACIONES</t>
  </si>
  <si>
    <t>METAS EJECUCIÓN - ACUERDO DE DESEMPEÑO MINCIT</t>
  </si>
  <si>
    <t>PROPUESTA SIC 2018</t>
  </si>
  <si>
    <t>Funcionam. 2017</t>
  </si>
  <si>
    <t>Inversion 2017</t>
  </si>
  <si>
    <t>Presup. Inicial</t>
  </si>
  <si>
    <t>Fontic</t>
  </si>
  <si>
    <t>C-3599-0200-4</t>
  </si>
  <si>
    <t>IMPLEMENTACIÓN DE UNA SOLUCIÓN INMOBILIARIA PARA LA SUPERINTENDENCIA DE INDUSTRIA Y COMERCIO EN  BOGOTÁ</t>
  </si>
  <si>
    <t>POR EJECUTAR $</t>
  </si>
  <si>
    <t>C-3503-0200-9</t>
  </si>
  <si>
    <t>C-3599-0200-5</t>
  </si>
  <si>
    <t>C-3599-0200-6</t>
  </si>
  <si>
    <t>SUB
ITEM 2</t>
  </si>
  <si>
    <t>A-01-01-01</t>
  </si>
  <si>
    <t>01</t>
  </si>
  <si>
    <t>SALARIO</t>
  </si>
  <si>
    <t>A-01-01-02</t>
  </si>
  <si>
    <t>02</t>
  </si>
  <si>
    <t>CONTRIBUCIONES INHERENTES A LA NÓMINA</t>
  </si>
  <si>
    <t>A-01-01-03</t>
  </si>
  <si>
    <t>03</t>
  </si>
  <si>
    <t>REMUNERACIONES NO CONSTITUTIVAS DE FACTOR SALARIAL</t>
  </si>
  <si>
    <t>A-01-01-04</t>
  </si>
  <si>
    <t>04</t>
  </si>
  <si>
    <t>A-02-01</t>
  </si>
  <si>
    <t>ADQUISICIÓN DE ACTIVOS NO FINANCIEROS</t>
  </si>
  <si>
    <t>A-02-02</t>
  </si>
  <si>
    <t>ADQUISICIONES DIFERENTES DE ACTIVOS</t>
  </si>
  <si>
    <t>A-03-02-02-097</t>
  </si>
  <si>
    <t>097</t>
  </si>
  <si>
    <t>A-03-02-02-105</t>
  </si>
  <si>
    <t>105</t>
  </si>
  <si>
    <t>A-03-03-04-007</t>
  </si>
  <si>
    <t>007</t>
  </si>
  <si>
    <t>PROVISIÓN PARA GASTOS INSTITUCIONALES Y/O SECTORIALES CONTINGENTES- PREVIO CONCEPTO DGPPN</t>
  </si>
  <si>
    <t>A-03-04-02-001</t>
  </si>
  <si>
    <t>001</t>
  </si>
  <si>
    <t>MESADAS PENSIONALES (DE PENSIONES)</t>
  </si>
  <si>
    <t>A-03-04-02-012</t>
  </si>
  <si>
    <t>012</t>
  </si>
  <si>
    <t>A-03-04-02-015</t>
  </si>
  <si>
    <t>015</t>
  </si>
  <si>
    <t>APORTE PREVISION SOCIAL SERVICIOS MEDICOS (NO DE PENSIONES)</t>
  </si>
  <si>
    <t>A-03-10-01-001</t>
  </si>
  <si>
    <t>SENTENCIAS</t>
  </si>
  <si>
    <t>A-03-10-01-002</t>
  </si>
  <si>
    <t>002</t>
  </si>
  <si>
    <t>CONCILIACIONES</t>
  </si>
  <si>
    <t>A-08-01</t>
  </si>
  <si>
    <t>08</t>
  </si>
  <si>
    <t>IMPUESTOS</t>
  </si>
  <si>
    <t>A-08-04-01</t>
  </si>
  <si>
    <t>CUOTA DE FISCALIZACIÓN Y AUDITAJE</t>
  </si>
  <si>
    <t>INCREMENTO DE LA COBERTURA DE LOS SERVICIOS DE LA RED NACIONAL DE PROTECCIÓN AL CONSUMIDOR EN EL TERRITORIO  NACIONAL</t>
  </si>
  <si>
    <t>C-3503-0200-10</t>
  </si>
  <si>
    <t>MEJORAMIENTO DEL CONTROL Y VIGILANCIA A LAS CÁMARAS DE COMERCIO Y COMERCIANTES A NIVEL  NACIONAL</t>
  </si>
  <si>
    <t>C-3503-0200-11</t>
  </si>
  <si>
    <t>11</t>
  </si>
  <si>
    <t>FORTALECIMIENTO DE LA FUNCIÓN JURISDICCIONAL DE LA SUPERINTENDENCIA DE INDUSTRIA Y COMERCIO A NIVEL  NACIONAL</t>
  </si>
  <si>
    <t>C-3503-0200-12</t>
  </si>
  <si>
    <t>12</t>
  </si>
  <si>
    <t>FORTALECIMIENTO DE LA PROTECCIÓN DE DATOS PERSONALES A NIVEL  NACIONAL</t>
  </si>
  <si>
    <t>C-3503-0200-13</t>
  </si>
  <si>
    <t>13</t>
  </si>
  <si>
    <t>FORTALECIMIENTO DEL RÉGIMEN DE PROTECCIÓN DE LA LIBRE COMPETENCIA ECONÓMICA EN LOS MERCADOS A NIVEL  NACIONAL</t>
  </si>
  <si>
    <t>C-3503-0200-14</t>
  </si>
  <si>
    <t>14</t>
  </si>
  <si>
    <t>FORTALECIMIENTO DE LA ATENCIÓN Y PROMOCIÓN DE TRÁMITES Y SERVICIOS EN EL MARCO DEL SISTEMA DE PROPIEDAD INDUSTRIAL A NIVEL  NACIONAL</t>
  </si>
  <si>
    <t>C-3503-0200-15</t>
  </si>
  <si>
    <t>15</t>
  </si>
  <si>
    <t>MEJORAMIENTO EN LA EJECUCIÓN DE LAS FUNCIONES ASIGNADAS EN MATERIA DE PROTECCIÓN AL CONSUMIDOR A NIVEL  NACIONAL</t>
  </si>
  <si>
    <t>C-3503-0200-16</t>
  </si>
  <si>
    <t>16</t>
  </si>
  <si>
    <t>FORTALECIMIENTO DE LA FUNCIÓN DE INSPECCIÓN, CONTROL Y VIGILANCIA DE LA SUPERINTENDENCIA DE INDUSTRIA Y COMERCIO EN EL MARCO DEL SUBSISTEMA NACIONAL DE CALIDAD, EL RÉGIMEN DE CONTROL DE PRECIOS Y EL SECTOR VALUATORIO A NIVEL  NACIONAL</t>
  </si>
  <si>
    <t>FORTALECIMIENTO DEL SISTEMA DE ATENCIÓN AL CIUDADANO DE LA SUPERINTENDENCIA DE INDUSTRIA Y COMERCIO A NIVEL  NACIONAL</t>
  </si>
  <si>
    <t>MEJORAMIENTO DE LOS SISTEMAS DE INFORMACIÓN Y SERVICIOS TECNOLÓGICOS DE LA SUPERINTENDENCIA DE INDUSTRIA Y COMERCIO EN EL TERRITORIO  NACIONAL</t>
  </si>
  <si>
    <t>C-3599-0200-7</t>
  </si>
  <si>
    <t>MEJORAMIENTO DE LA INFRAESTRUCTURA FÍSICA DE LA SEDE DE LA SUPERINTENDENCIA DE INDUSTRIA Y COMERCIO EN  BOGOTÁ</t>
  </si>
  <si>
    <t>C-3599-0200-8</t>
  </si>
  <si>
    <t>MEJORAMIENTO EN LA CALIDAD DE LA GESTIÓN ESTRATÉGICA DE LA SUPERINTENDENCIA DE INDUSTRIA Y COMERCIO A NIVEL  NACIONAL</t>
  </si>
  <si>
    <t>INCAPACIDADES Y LICENCIAS DE MATERNIDAD Y PATERNIDAD (NO DE PENSIONES)</t>
  </si>
  <si>
    <t>PROPUESTA SIC 2019</t>
  </si>
  <si>
    <t>OTROS GASTOS DE PERSONAL - DISTRIBUCIÓN PREVIO CONCEPTO DGPPN</t>
  </si>
  <si>
    <t>C-3599-0200-9</t>
  </si>
  <si>
    <t>IMPLEMENTACIÓN DE UNA SOLUCIÓN INMOBILIARIA PARA LA SUPERINTENDENCIA DE INDUSTRIA Y COMERCIO BOGOTÁ</t>
  </si>
  <si>
    <t>IMPLEMENTACIÓN DE UNA SOLUCIÓN INMOBILIARIA PARA LA SUPERINTENDENCIA DE INDUSTRIA Y COMERCIO BOGOTÁ 2</t>
  </si>
  <si>
    <t>NOVIEMBRE - 2019</t>
  </si>
  <si>
    <t>Enero-Noviembre</t>
  </si>
  <si>
    <t>A-01-02-02</t>
  </si>
  <si>
    <t xml:space="preserve">CONTRIBUCIONES INHERENTES A LA NÓMINA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</si>
</sst>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quot;$&quot;\ * #,##0.00_);_(&quot;$&quot;\ * \(#,##0.00\);_(&quot;$&quot;\ * &quot;-&quot;??_);_(@_)"/>
    <numFmt numFmtId="165" formatCode="_(* #,##0.00_);_(* \(#,##0.00\);_(* &quot;-&quot;??_);_(@_)"/>
    <numFmt numFmtId="166" formatCode="[$-1240A]&quot;$&quot;\ #,##0.00;\(&quot;$&quot;\ #,##0.00\)"/>
    <numFmt numFmtId="167" formatCode="[$-F800]dddd\,\ mmmm\ dd\,\ yyyy"/>
    <numFmt numFmtId="168" formatCode="_(* #,##0_);_(* \(#,##0\);_(* &quot;-&quot;??_);_(@_)"/>
    <numFmt numFmtId="169" formatCode="_-* #,##0_-;\-* #,##0_-;_-* &quot;-&quot;??_-;_-@_-"/>
    <numFmt numFmtId="170" formatCode="0.0%"/>
    <numFmt numFmtId="171" formatCode="0.000%"/>
    <numFmt numFmtId="172" formatCode="_(&quot;$&quot;\ * #,##0_);_(&quot;$&quot;\ * \(#,##0\);_(&quot;$&quot;\ * &quot;-&quot;??_);_(@_)"/>
  </numFmts>
  <fonts count="42">
    <font>
      <sz val="11"/>
      <color rgb="FF000000"/>
      <name val="Calibri"/>
      <family val="2"/>
      <scheme val="minor"/>
    </font>
    <font>
      <sz val="11"/>
      <color theme="1"/>
      <name val="Calibri"/>
      <family val="2"/>
      <scheme val="minor"/>
    </font>
    <font>
      <sz val="11"/>
      <name val="Calibri"/>
      <family val="2"/>
    </font>
    <font>
      <sz val="11"/>
      <color rgb="FF000000"/>
      <name val="Calibri"/>
      <family val="2"/>
      <scheme val="minor"/>
    </font>
    <font>
      <b/>
      <sz val="11"/>
      <color theme="0"/>
      <name val="Calibri"/>
      <family val="2"/>
      <scheme val="minor"/>
    </font>
    <font>
      <b/>
      <sz val="11"/>
      <color theme="1"/>
      <name val="Calibri"/>
      <family val="2"/>
      <scheme val="minor"/>
    </font>
    <font>
      <i/>
      <sz val="8"/>
      <color theme="1"/>
      <name val="Calibri"/>
      <family val="2"/>
      <scheme val="minor"/>
    </font>
    <font>
      <sz val="9"/>
      <name val="Calibri"/>
      <family val="2"/>
    </font>
    <font>
      <b/>
      <sz val="11"/>
      <color theme="3"/>
      <name val="Calibri"/>
      <family val="2"/>
      <scheme val="minor"/>
    </font>
    <font>
      <sz val="12"/>
      <name val="Arial"/>
      <family val="2"/>
    </font>
    <font>
      <b/>
      <u val="double"/>
      <sz val="16"/>
      <color rgb="FF002060"/>
      <name val="Arial"/>
      <family val="2"/>
    </font>
    <font>
      <i/>
      <sz val="11"/>
      <name val="Arial"/>
      <family val="2"/>
    </font>
    <font>
      <b/>
      <sz val="11"/>
      <color theme="0"/>
      <name val="Arial"/>
      <family val="2"/>
    </font>
    <font>
      <b/>
      <sz val="11"/>
      <color rgb="FF000000"/>
      <name val="Arial"/>
      <family val="2"/>
    </font>
    <font>
      <b/>
      <sz val="11"/>
      <name val="Arial"/>
      <family val="2"/>
    </font>
    <font>
      <b/>
      <sz val="12"/>
      <name val="Arial"/>
      <family val="2"/>
    </font>
    <font>
      <sz val="11"/>
      <color rgb="FF000000"/>
      <name val="Arial"/>
      <family val="2"/>
    </font>
    <font>
      <sz val="11"/>
      <name val="Arial"/>
      <family val="2"/>
    </font>
    <font>
      <sz val="12"/>
      <color theme="0"/>
      <name val="Arial"/>
      <family val="2"/>
    </font>
    <font>
      <sz val="11"/>
      <name val="Calibri"/>
      <family val="2"/>
      <scheme val="minor"/>
    </font>
    <font>
      <b/>
      <sz val="16"/>
      <color theme="5" tint="-0.249977111117893"/>
      <name val="Calibri"/>
      <family val="2"/>
      <scheme val="minor"/>
    </font>
    <font>
      <b/>
      <sz val="11"/>
      <name val="Calibri"/>
      <family val="2"/>
      <scheme val="minor"/>
    </font>
    <font>
      <sz val="10"/>
      <name val="Arial"/>
      <family val="2"/>
    </font>
    <font>
      <b/>
      <sz val="11"/>
      <color theme="3"/>
      <name val="Arial"/>
      <family val="2"/>
    </font>
    <font>
      <b/>
      <sz val="11"/>
      <color rgb="FFFF0000"/>
      <name val="Arial"/>
      <family val="2"/>
    </font>
    <font>
      <sz val="11"/>
      <name val="Arial Narrow"/>
      <family val="2"/>
    </font>
    <font>
      <b/>
      <sz val="11"/>
      <color theme="1"/>
      <name val="Arial Narrow"/>
      <family val="2"/>
    </font>
    <font>
      <sz val="11"/>
      <color rgb="FF000000"/>
      <name val="Arial Narrow"/>
      <family val="2"/>
    </font>
    <font>
      <b/>
      <sz val="11"/>
      <name val="Arial Narrow"/>
      <family val="2"/>
    </font>
    <font>
      <sz val="9"/>
      <color indexed="81"/>
      <name val="Tahoma"/>
      <family val="2"/>
    </font>
    <font>
      <b/>
      <sz val="9"/>
      <color indexed="81"/>
      <name val="Tahoma"/>
      <family val="2"/>
    </font>
    <font>
      <b/>
      <sz val="11"/>
      <color theme="3" tint="-0.249977111117893"/>
      <name val="Arial Narrow"/>
      <family val="2"/>
    </font>
    <font>
      <b/>
      <sz val="11"/>
      <color rgb="FFFFCC00"/>
      <name val="Arial Narrow"/>
      <family val="2"/>
    </font>
    <font>
      <b/>
      <sz val="26"/>
      <name val="Calibri"/>
      <family val="2"/>
    </font>
    <font>
      <sz val="11"/>
      <color rgb="FF000000"/>
      <name val="Calibri"/>
      <family val="2"/>
    </font>
    <font>
      <b/>
      <sz val="11"/>
      <color rgb="FF000000"/>
      <name val="Calibri"/>
      <family val="2"/>
    </font>
    <font>
      <b/>
      <sz val="36"/>
      <color rgb="FFC00000"/>
      <name val="Calibri"/>
      <family val="2"/>
      <scheme val="minor"/>
    </font>
    <font>
      <b/>
      <sz val="9"/>
      <color rgb="FFFFCC00"/>
      <name val="Arial Narrow"/>
      <family val="2"/>
    </font>
    <font>
      <b/>
      <sz val="9"/>
      <color rgb="FF000000"/>
      <name val="Times New Roman"/>
    </font>
    <font>
      <sz val="11"/>
      <name val="Calibri"/>
    </font>
    <font>
      <sz val="8"/>
      <color rgb="FF000000"/>
      <name val="Times New Roman"/>
    </font>
    <font>
      <b/>
      <sz val="8"/>
      <color rgb="FF000000"/>
      <name val="Times New Roman"/>
    </font>
  </fonts>
  <fills count="21">
    <fill>
      <patternFill patternType="none"/>
    </fill>
    <fill>
      <patternFill patternType="gray125"/>
    </fill>
    <fill>
      <patternFill patternType="solid">
        <fgColor theme="0" tint="-0.499984740745262"/>
        <bgColor indexed="64"/>
      </patternFill>
    </fill>
    <fill>
      <patternFill patternType="solid">
        <fgColor rgb="FF66FFFF"/>
        <bgColor indexed="64"/>
      </patternFill>
    </fill>
    <fill>
      <patternFill patternType="solid">
        <fgColor rgb="FFFF99CC"/>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2" tint="-0.89999084444715716"/>
        <bgColor indexed="64"/>
      </patternFill>
    </fill>
    <fill>
      <patternFill patternType="solid">
        <fgColor theme="0"/>
        <bgColor indexed="64"/>
      </patternFill>
    </fill>
    <fill>
      <patternFill patternType="solid">
        <fgColor rgb="FFFFCC00"/>
        <bgColor indexed="64"/>
      </patternFill>
    </fill>
    <fill>
      <patternFill patternType="solid">
        <fgColor theme="4" tint="0.59999389629810485"/>
        <bgColor indexed="64"/>
      </patternFill>
    </fill>
    <fill>
      <patternFill patternType="solid">
        <fgColor theme="3" tint="-0.249977111117893"/>
        <bgColor indexed="64"/>
      </patternFill>
    </fill>
    <fill>
      <patternFill patternType="solid">
        <fgColor rgb="FF92D050"/>
        <bgColor indexed="64"/>
      </patternFill>
    </fill>
    <fill>
      <patternFill patternType="solid">
        <fgColor rgb="FF70AD47"/>
        <bgColor rgb="FF000000"/>
      </patternFill>
    </fill>
    <fill>
      <patternFill patternType="solid">
        <fgColor rgb="FFAEAAAA"/>
        <bgColor rgb="FF000000"/>
      </patternFill>
    </fill>
  </fills>
  <borders count="44">
    <border>
      <left/>
      <right/>
      <top/>
      <bottom/>
      <diagonal/>
    </border>
    <border>
      <left style="thin">
        <color rgb="FFD3D3D3"/>
      </left>
      <right style="thin">
        <color rgb="FFD3D3D3"/>
      </right>
      <top style="thin">
        <color rgb="FFD3D3D3"/>
      </top>
      <bottom style="thin">
        <color rgb="FFD3D3D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style="medium">
        <color indexed="64"/>
      </left>
      <right style="thin">
        <color indexed="64"/>
      </right>
      <top style="thin">
        <color indexed="64"/>
      </top>
      <bottom style="thin">
        <color indexed="64"/>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theme="0"/>
      </top>
      <bottom/>
      <diagonal/>
    </border>
    <border>
      <left/>
      <right/>
      <top style="thin">
        <color theme="0"/>
      </top>
      <bottom/>
      <diagonal/>
    </border>
    <border>
      <left/>
      <right style="medium">
        <color indexed="64"/>
      </right>
      <top style="thin">
        <color theme="0"/>
      </top>
      <bottom/>
      <diagonal/>
    </border>
    <border>
      <left style="medium">
        <color indexed="64"/>
      </left>
      <right/>
      <top/>
      <bottom style="thin">
        <color indexed="64"/>
      </bottom>
      <diagonal/>
    </border>
    <border>
      <left/>
      <right style="medium">
        <color indexed="64"/>
      </right>
      <top/>
      <bottom style="thin">
        <color indexed="64"/>
      </bottom>
      <diagonal/>
    </border>
  </borders>
  <cellStyleXfs count="11">
    <xf numFmtId="0" fontId="0"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1" fillId="0" borderId="0"/>
    <xf numFmtId="0" fontId="22" fillId="0" borderId="0"/>
    <xf numFmtId="9" fontId="22" fillId="0" borderId="0" applyFont="0" applyFill="0" applyBorder="0" applyAlignment="0" applyProtection="0"/>
    <xf numFmtId="164" fontId="3" fillId="0" borderId="0" applyFont="0" applyFill="0" applyBorder="0" applyAlignment="0" applyProtection="0"/>
  </cellStyleXfs>
  <cellXfs count="272">
    <xf numFmtId="0" fontId="2" fillId="0" borderId="0" xfId="0" applyFont="1" applyFill="1" applyBorder="1"/>
    <xf numFmtId="0" fontId="2" fillId="0" borderId="0" xfId="0" applyFont="1" applyFill="1" applyBorder="1" applyAlignment="1">
      <alignment horizontal="left" indent="1"/>
    </xf>
    <xf numFmtId="0" fontId="2" fillId="0" borderId="0" xfId="0" pivotButton="1" applyFont="1" applyFill="1" applyBorder="1" applyAlignment="1">
      <alignment wrapText="1"/>
    </xf>
    <xf numFmtId="0" fontId="2" fillId="0" borderId="0" xfId="0" applyFont="1" applyFill="1" applyBorder="1" applyAlignment="1">
      <alignment horizontal="left" wrapText="1"/>
    </xf>
    <xf numFmtId="0" fontId="2" fillId="0" borderId="0" xfId="0" applyFont="1" applyFill="1" applyBorder="1" applyAlignment="1">
      <alignment wrapText="1"/>
    </xf>
    <xf numFmtId="165" fontId="2" fillId="0" borderId="0" xfId="1" applyFont="1" applyFill="1" applyBorder="1"/>
    <xf numFmtId="0" fontId="5" fillId="0" borderId="0" xfId="0" applyFont="1"/>
    <xf numFmtId="0" fontId="0" fillId="0" borderId="0" xfId="0"/>
    <xf numFmtId="167" fontId="6" fillId="0" borderId="0" xfId="0" applyNumberFormat="1" applyFont="1" applyAlignment="1">
      <alignment horizontal="left" vertical="center" wrapText="1"/>
    </xf>
    <xf numFmtId="0" fontId="5" fillId="2" borderId="2" xfId="0" applyFont="1" applyFill="1" applyBorder="1" applyAlignment="1">
      <alignment horizontal="center" vertical="center"/>
    </xf>
    <xf numFmtId="0" fontId="5" fillId="3" borderId="2" xfId="0" applyFont="1" applyFill="1" applyBorder="1" applyAlignment="1">
      <alignment horizontal="center" vertical="center"/>
    </xf>
    <xf numFmtId="0" fontId="5" fillId="4" borderId="2" xfId="0" applyFont="1" applyFill="1" applyBorder="1" applyAlignment="1">
      <alignment horizontal="center" vertical="center"/>
    </xf>
    <xf numFmtId="0" fontId="5" fillId="5" borderId="2" xfId="0" applyFont="1" applyFill="1" applyBorder="1" applyAlignment="1">
      <alignment horizontal="center" vertical="center"/>
    </xf>
    <xf numFmtId="0" fontId="5" fillId="6" borderId="2" xfId="0" applyFont="1" applyFill="1" applyBorder="1" applyAlignment="1">
      <alignment horizontal="center" vertical="center"/>
    </xf>
    <xf numFmtId="0" fontId="5" fillId="7" borderId="2" xfId="0" applyFont="1" applyFill="1" applyBorder="1" applyAlignment="1">
      <alignment horizontal="center" vertical="center"/>
    </xf>
    <xf numFmtId="0" fontId="5" fillId="8" borderId="2" xfId="0" applyFont="1" applyFill="1" applyBorder="1" applyAlignment="1">
      <alignment horizontal="center" vertical="center"/>
    </xf>
    <xf numFmtId="0" fontId="5" fillId="9" borderId="2" xfId="0" applyFont="1" applyFill="1" applyBorder="1" applyAlignment="1">
      <alignment horizontal="center" vertical="center"/>
    </xf>
    <xf numFmtId="0" fontId="5" fillId="10" borderId="2" xfId="0" applyFont="1" applyFill="1" applyBorder="1" applyAlignment="1">
      <alignment horizontal="center" vertical="center"/>
    </xf>
    <xf numFmtId="0" fontId="5" fillId="11" borderId="3" xfId="0" applyFont="1" applyFill="1" applyBorder="1"/>
    <xf numFmtId="165" fontId="5" fillId="0" borderId="3" xfId="1" applyFont="1" applyBorder="1"/>
    <xf numFmtId="10" fontId="5" fillId="0" borderId="3" xfId="2" applyNumberFormat="1" applyFont="1" applyBorder="1"/>
    <xf numFmtId="0" fontId="0" fillId="11" borderId="4" xfId="0" applyFill="1" applyBorder="1"/>
    <xf numFmtId="165" fontId="0" fillId="0" borderId="4" xfId="1" applyFont="1" applyBorder="1"/>
    <xf numFmtId="10" fontId="0" fillId="0" borderId="4" xfId="2" applyNumberFormat="1" applyFont="1" applyBorder="1"/>
    <xf numFmtId="43" fontId="0" fillId="0" borderId="4" xfId="0" applyNumberFormat="1" applyBorder="1"/>
    <xf numFmtId="0" fontId="0" fillId="11" borderId="5" xfId="0" applyFill="1" applyBorder="1"/>
    <xf numFmtId="165" fontId="0" fillId="0" borderId="5" xfId="1" applyFont="1" applyBorder="1"/>
    <xf numFmtId="10" fontId="0" fillId="0" borderId="5" xfId="2" applyNumberFormat="1" applyFont="1" applyBorder="1"/>
    <xf numFmtId="43" fontId="0" fillId="0" borderId="5" xfId="0" applyNumberFormat="1" applyBorder="1"/>
    <xf numFmtId="0" fontId="5" fillId="11" borderId="2" xfId="0" applyFont="1" applyFill="1" applyBorder="1"/>
    <xf numFmtId="165" fontId="5" fillId="0" borderId="2" xfId="1" applyFont="1" applyBorder="1"/>
    <xf numFmtId="10" fontId="5" fillId="0" borderId="2" xfId="2" applyNumberFormat="1" applyFont="1" applyBorder="1"/>
    <xf numFmtId="43" fontId="5" fillId="0" borderId="2" xfId="0" applyNumberFormat="1" applyFont="1" applyBorder="1"/>
    <xf numFmtId="0" fontId="5" fillId="2" borderId="2" xfId="0" applyFont="1" applyFill="1" applyBorder="1"/>
    <xf numFmtId="165" fontId="5" fillId="2" borderId="2" xfId="1" applyFont="1" applyFill="1" applyBorder="1"/>
    <xf numFmtId="165" fontId="5" fillId="3" borderId="2" xfId="1" applyFont="1" applyFill="1" applyBorder="1"/>
    <xf numFmtId="10" fontId="5" fillId="3" borderId="2" xfId="2" applyNumberFormat="1" applyFont="1" applyFill="1" applyBorder="1"/>
    <xf numFmtId="165" fontId="5" fillId="4" borderId="2" xfId="1" applyFont="1" applyFill="1" applyBorder="1"/>
    <xf numFmtId="10" fontId="5" fillId="4" borderId="2" xfId="2" applyNumberFormat="1" applyFont="1" applyFill="1" applyBorder="1"/>
    <xf numFmtId="165" fontId="5" fillId="5" borderId="2" xfId="1" applyFont="1" applyFill="1" applyBorder="1"/>
    <xf numFmtId="10" fontId="5" fillId="5" borderId="2" xfId="2" applyNumberFormat="1" applyFont="1" applyFill="1" applyBorder="1"/>
    <xf numFmtId="165" fontId="5" fillId="6" borderId="2" xfId="1" applyFont="1" applyFill="1" applyBorder="1"/>
    <xf numFmtId="10" fontId="5" fillId="6" borderId="2" xfId="2" applyNumberFormat="1" applyFont="1" applyFill="1" applyBorder="1"/>
    <xf numFmtId="165" fontId="5" fillId="7" borderId="2" xfId="1" applyFont="1" applyFill="1" applyBorder="1"/>
    <xf numFmtId="10" fontId="5" fillId="7" borderId="2" xfId="2" applyNumberFormat="1" applyFont="1" applyFill="1" applyBorder="1"/>
    <xf numFmtId="165" fontId="5" fillId="8" borderId="2" xfId="1" applyFont="1" applyFill="1" applyBorder="1"/>
    <xf numFmtId="10" fontId="5" fillId="8" borderId="2" xfId="2" applyNumberFormat="1" applyFont="1" applyFill="1" applyBorder="1"/>
    <xf numFmtId="165" fontId="5" fillId="9" borderId="2" xfId="1" applyFont="1" applyFill="1" applyBorder="1"/>
    <xf numFmtId="10" fontId="5" fillId="9" borderId="2" xfId="2" applyNumberFormat="1" applyFont="1" applyFill="1" applyBorder="1"/>
    <xf numFmtId="165" fontId="5" fillId="12" borderId="2" xfId="1" applyFont="1" applyFill="1" applyBorder="1"/>
    <xf numFmtId="10" fontId="5" fillId="12" borderId="2" xfId="2" applyNumberFormat="1" applyFont="1" applyFill="1" applyBorder="1"/>
    <xf numFmtId="168" fontId="7" fillId="0" borderId="0" xfId="1" applyNumberFormat="1" applyFont="1" applyFill="1" applyBorder="1"/>
    <xf numFmtId="0" fontId="5" fillId="2" borderId="12" xfId="0" applyFont="1" applyFill="1" applyBorder="1" applyAlignment="1">
      <alignment horizontal="center" vertical="center"/>
    </xf>
    <xf numFmtId="0" fontId="5" fillId="5" borderId="12" xfId="0" applyFont="1" applyFill="1" applyBorder="1" applyAlignment="1">
      <alignment horizontal="center" vertical="center"/>
    </xf>
    <xf numFmtId="0" fontId="5" fillId="6" borderId="12" xfId="0" applyFont="1" applyFill="1" applyBorder="1" applyAlignment="1">
      <alignment horizontal="center" vertical="center"/>
    </xf>
    <xf numFmtId="0" fontId="5" fillId="11" borderId="6" xfId="0" applyFont="1" applyFill="1" applyBorder="1" applyAlignment="1">
      <alignment vertical="center"/>
    </xf>
    <xf numFmtId="0" fontId="0" fillId="11" borderId="6" xfId="0" applyFill="1" applyBorder="1" applyAlignment="1">
      <alignment vertical="center"/>
    </xf>
    <xf numFmtId="0" fontId="5" fillId="11" borderId="13" xfId="0" applyFont="1" applyFill="1" applyBorder="1" applyAlignment="1">
      <alignment vertical="center"/>
    </xf>
    <xf numFmtId="0" fontId="5" fillId="11" borderId="16" xfId="0" applyFont="1" applyFill="1" applyBorder="1" applyAlignment="1">
      <alignment vertical="center"/>
    </xf>
    <xf numFmtId="0" fontId="0" fillId="11" borderId="13" xfId="0" applyFill="1" applyBorder="1" applyAlignment="1">
      <alignment vertical="center"/>
    </xf>
    <xf numFmtId="0" fontId="0" fillId="11" borderId="16" xfId="0" applyFill="1" applyBorder="1" applyAlignment="1">
      <alignment vertical="center"/>
    </xf>
    <xf numFmtId="0" fontId="5" fillId="2" borderId="6" xfId="0" applyFont="1" applyFill="1" applyBorder="1" applyAlignment="1">
      <alignment vertical="center"/>
    </xf>
    <xf numFmtId="0" fontId="5" fillId="2" borderId="13" xfId="0" applyFont="1" applyFill="1" applyBorder="1" applyAlignment="1">
      <alignment vertical="center"/>
    </xf>
    <xf numFmtId="0" fontId="5" fillId="2" borderId="16" xfId="0" applyFont="1" applyFill="1" applyBorder="1" applyAlignment="1">
      <alignment vertical="center"/>
    </xf>
    <xf numFmtId="165" fontId="5" fillId="0" borderId="13" xfId="1" applyFont="1" applyFill="1" applyBorder="1" applyAlignment="1">
      <alignment vertical="center"/>
    </xf>
    <xf numFmtId="165" fontId="5" fillId="0" borderId="6" xfId="1" applyFont="1" applyFill="1" applyBorder="1" applyAlignment="1">
      <alignment vertical="center"/>
    </xf>
    <xf numFmtId="165" fontId="5" fillId="0" borderId="16" xfId="1" applyFont="1" applyFill="1" applyBorder="1" applyAlignment="1">
      <alignment vertical="center"/>
    </xf>
    <xf numFmtId="165" fontId="0" fillId="0" borderId="13" xfId="1" applyFont="1" applyFill="1" applyBorder="1" applyAlignment="1">
      <alignment vertical="center"/>
    </xf>
    <xf numFmtId="165" fontId="0" fillId="0" borderId="6" xfId="1" applyFont="1" applyFill="1" applyBorder="1" applyAlignment="1">
      <alignment vertical="center"/>
    </xf>
    <xf numFmtId="165" fontId="0" fillId="0" borderId="16" xfId="1" applyFont="1" applyFill="1" applyBorder="1" applyAlignment="1">
      <alignment vertical="center"/>
    </xf>
    <xf numFmtId="165" fontId="5" fillId="2" borderId="13" xfId="1" applyFont="1" applyFill="1" applyBorder="1" applyAlignment="1">
      <alignment vertical="center"/>
    </xf>
    <xf numFmtId="165" fontId="5" fillId="2" borderId="6" xfId="1" applyFont="1" applyFill="1" applyBorder="1" applyAlignment="1">
      <alignment vertical="center"/>
    </xf>
    <xf numFmtId="165" fontId="5" fillId="2" borderId="16" xfId="1" applyFont="1" applyFill="1" applyBorder="1" applyAlignment="1">
      <alignment vertical="center"/>
    </xf>
    <xf numFmtId="10" fontId="5" fillId="0" borderId="13" xfId="2" applyNumberFormat="1" applyFont="1" applyFill="1" applyBorder="1" applyAlignment="1">
      <alignment vertical="center"/>
    </xf>
    <xf numFmtId="10" fontId="5" fillId="0" borderId="6" xfId="2" applyNumberFormat="1" applyFont="1" applyFill="1" applyBorder="1" applyAlignment="1">
      <alignment vertical="center"/>
    </xf>
    <xf numFmtId="10" fontId="5" fillId="0" borderId="16" xfId="2" applyNumberFormat="1" applyFont="1" applyFill="1" applyBorder="1" applyAlignment="1">
      <alignment vertical="center"/>
    </xf>
    <xf numFmtId="10" fontId="0" fillId="0" borderId="13" xfId="2" applyNumberFormat="1" applyFont="1" applyFill="1" applyBorder="1" applyAlignment="1">
      <alignment vertical="center"/>
    </xf>
    <xf numFmtId="10" fontId="0" fillId="0" borderId="14" xfId="2" applyNumberFormat="1" applyFont="1" applyFill="1" applyBorder="1" applyAlignment="1">
      <alignment vertical="center"/>
    </xf>
    <xf numFmtId="10" fontId="0" fillId="0" borderId="6" xfId="2" applyNumberFormat="1" applyFont="1" applyFill="1" applyBorder="1" applyAlignment="1">
      <alignment vertical="center"/>
    </xf>
    <xf numFmtId="10" fontId="0" fillId="0" borderId="15" xfId="2" applyNumberFormat="1" applyFont="1" applyFill="1" applyBorder="1" applyAlignment="1">
      <alignment vertical="center"/>
    </xf>
    <xf numFmtId="10" fontId="0" fillId="0" borderId="16" xfId="2" applyNumberFormat="1" applyFont="1" applyFill="1" applyBorder="1" applyAlignment="1">
      <alignment vertical="center"/>
    </xf>
    <xf numFmtId="10" fontId="0" fillId="0" borderId="17" xfId="2" applyNumberFormat="1" applyFont="1" applyFill="1" applyBorder="1" applyAlignment="1">
      <alignment vertical="center"/>
    </xf>
    <xf numFmtId="10" fontId="5" fillId="0" borderId="14" xfId="2" applyNumberFormat="1" applyFont="1" applyFill="1" applyBorder="1" applyAlignment="1">
      <alignment vertical="center"/>
    </xf>
    <xf numFmtId="10" fontId="5" fillId="0" borderId="15" xfId="2" applyNumberFormat="1" applyFont="1" applyFill="1" applyBorder="1" applyAlignment="1">
      <alignment vertical="center"/>
    </xf>
    <xf numFmtId="10" fontId="5" fillId="2" borderId="13" xfId="2" applyNumberFormat="1" applyFont="1" applyFill="1" applyBorder="1" applyAlignment="1">
      <alignment vertical="center"/>
    </xf>
    <xf numFmtId="10" fontId="5" fillId="2" borderId="14" xfId="2" applyNumberFormat="1" applyFont="1" applyFill="1" applyBorder="1" applyAlignment="1">
      <alignment vertical="center"/>
    </xf>
    <xf numFmtId="10" fontId="5" fillId="2" borderId="6" xfId="2" applyNumberFormat="1" applyFont="1" applyFill="1" applyBorder="1" applyAlignment="1">
      <alignment vertical="center"/>
    </xf>
    <xf numFmtId="10" fontId="5" fillId="2" borderId="15" xfId="2" applyNumberFormat="1" applyFont="1" applyFill="1" applyBorder="1" applyAlignment="1">
      <alignment vertical="center"/>
    </xf>
    <xf numFmtId="10" fontId="5" fillId="2" borderId="16" xfId="2" applyNumberFormat="1" applyFont="1" applyFill="1" applyBorder="1" applyAlignment="1">
      <alignment vertical="center"/>
    </xf>
    <xf numFmtId="10" fontId="5" fillId="2" borderId="17" xfId="2" applyNumberFormat="1" applyFont="1" applyFill="1" applyBorder="1" applyAlignment="1">
      <alignment vertical="center"/>
    </xf>
    <xf numFmtId="10" fontId="5" fillId="0" borderId="17" xfId="2" applyNumberFormat="1" applyFont="1" applyFill="1" applyBorder="1" applyAlignment="1">
      <alignment vertical="center"/>
    </xf>
    <xf numFmtId="165" fontId="4" fillId="13" borderId="20" xfId="1" applyFont="1" applyFill="1" applyBorder="1" applyAlignment="1">
      <alignment vertical="center"/>
    </xf>
    <xf numFmtId="10" fontId="4" fillId="13" borderId="20" xfId="2" applyNumberFormat="1" applyFont="1" applyFill="1" applyBorder="1" applyAlignment="1">
      <alignment vertical="center"/>
    </xf>
    <xf numFmtId="10" fontId="4" fillId="13" borderId="21" xfId="2" applyNumberFormat="1" applyFont="1" applyFill="1" applyBorder="1" applyAlignment="1">
      <alignment vertical="center"/>
    </xf>
    <xf numFmtId="0" fontId="2" fillId="0" borderId="0" xfId="0" pivotButton="1" applyFont="1" applyFill="1" applyBorder="1"/>
    <xf numFmtId="0" fontId="2" fillId="0" borderId="0" xfId="0" applyFont="1" applyFill="1" applyBorder="1" applyAlignment="1">
      <alignment horizontal="left" indent="2"/>
    </xf>
    <xf numFmtId="0" fontId="9" fillId="14" borderId="0" xfId="3" applyFont="1" applyFill="1" applyBorder="1" applyAlignment="1">
      <alignment vertical="center"/>
    </xf>
    <xf numFmtId="0" fontId="10" fillId="14" borderId="0" xfId="3" applyFont="1" applyFill="1" applyBorder="1" applyAlignment="1">
      <alignment vertical="center"/>
    </xf>
    <xf numFmtId="169" fontId="9" fillId="14" borderId="0" xfId="4" applyNumberFormat="1" applyFont="1" applyFill="1" applyBorder="1" applyAlignment="1">
      <alignment vertical="center"/>
    </xf>
    <xf numFmtId="9" fontId="9" fillId="14" borderId="0" xfId="5" applyFont="1" applyFill="1" applyBorder="1" applyAlignment="1">
      <alignment vertical="center"/>
    </xf>
    <xf numFmtId="0" fontId="9" fillId="0" borderId="0" xfId="3" applyFont="1" applyFill="1" applyBorder="1" applyAlignment="1">
      <alignment vertical="center"/>
    </xf>
    <xf numFmtId="0" fontId="11" fillId="14" borderId="0" xfId="3" applyFont="1" applyFill="1" applyBorder="1" applyAlignment="1">
      <alignment vertical="center"/>
    </xf>
    <xf numFmtId="17" fontId="11" fillId="14" borderId="0" xfId="3" quotePrefix="1" applyNumberFormat="1" applyFont="1" applyFill="1" applyBorder="1" applyAlignment="1">
      <alignment vertical="center"/>
    </xf>
    <xf numFmtId="169" fontId="9" fillId="14" borderId="0" xfId="3" applyNumberFormat="1" applyFont="1" applyFill="1" applyBorder="1" applyAlignment="1">
      <alignment vertical="center"/>
    </xf>
    <xf numFmtId="0" fontId="15" fillId="0" borderId="0" xfId="3" applyFont="1" applyFill="1" applyBorder="1" applyAlignment="1">
      <alignment vertical="center"/>
    </xf>
    <xf numFmtId="0" fontId="18" fillId="0" borderId="0" xfId="3" applyFont="1" applyFill="1" applyBorder="1" applyAlignment="1">
      <alignment vertical="center"/>
    </xf>
    <xf numFmtId="169" fontId="18" fillId="0" borderId="0" xfId="4" applyNumberFormat="1" applyFont="1" applyFill="1" applyBorder="1" applyAlignment="1">
      <alignment vertical="center"/>
    </xf>
    <xf numFmtId="169" fontId="18" fillId="0" borderId="0" xfId="3" applyNumberFormat="1" applyFont="1" applyFill="1" applyBorder="1" applyAlignment="1">
      <alignment vertical="center"/>
    </xf>
    <xf numFmtId="10" fontId="18" fillId="0" borderId="0" xfId="5" applyNumberFormat="1" applyFont="1" applyFill="1" applyBorder="1" applyAlignment="1">
      <alignment vertical="center"/>
    </xf>
    <xf numFmtId="169" fontId="9" fillId="0" borderId="0" xfId="3" applyNumberFormat="1" applyFont="1" applyFill="1" applyBorder="1" applyAlignment="1">
      <alignment vertical="center"/>
    </xf>
    <xf numFmtId="171" fontId="9" fillId="0" borderId="0" xfId="6" applyNumberFormat="1" applyFont="1" applyFill="1" applyBorder="1" applyAlignment="1">
      <alignment vertical="center"/>
    </xf>
    <xf numFmtId="169" fontId="9" fillId="0" borderId="0" xfId="4" applyNumberFormat="1" applyFont="1" applyFill="1" applyBorder="1" applyAlignment="1">
      <alignment vertical="center"/>
    </xf>
    <xf numFmtId="9" fontId="9" fillId="0" borderId="0" xfId="5" applyFont="1" applyFill="1" applyBorder="1" applyAlignment="1">
      <alignment vertical="center"/>
    </xf>
    <xf numFmtId="0" fontId="19" fillId="14" borderId="28" xfId="7" applyFont="1" applyFill="1" applyBorder="1" applyAlignment="1">
      <alignment horizontal="left"/>
    </xf>
    <xf numFmtId="0" fontId="19" fillId="14" borderId="28" xfId="7" applyFont="1" applyFill="1" applyBorder="1"/>
    <xf numFmtId="0" fontId="21" fillId="14" borderId="6" xfId="7" applyFont="1" applyFill="1" applyBorder="1" applyAlignment="1">
      <alignment horizontal="center"/>
    </xf>
    <xf numFmtId="0" fontId="19" fillId="14" borderId="29" xfId="7" applyFont="1" applyFill="1" applyBorder="1"/>
    <xf numFmtId="10" fontId="23" fillId="18" borderId="6" xfId="6" applyNumberFormat="1" applyFont="1" applyFill="1" applyBorder="1" applyAlignment="1">
      <alignment horizontal="right"/>
    </xf>
    <xf numFmtId="10" fontId="24" fillId="18" borderId="6" xfId="6" applyNumberFormat="1" applyFont="1" applyFill="1" applyBorder="1" applyAlignment="1">
      <alignment horizontal="right"/>
    </xf>
    <xf numFmtId="0" fontId="8" fillId="14" borderId="28" xfId="7" applyFont="1" applyFill="1" applyBorder="1"/>
    <xf numFmtId="10" fontId="23" fillId="18" borderId="6" xfId="9" applyNumberFormat="1" applyFont="1" applyFill="1" applyBorder="1"/>
    <xf numFmtId="10" fontId="24" fillId="18" borderId="6" xfId="9" applyNumberFormat="1" applyFont="1" applyFill="1" applyBorder="1"/>
    <xf numFmtId="0" fontId="25" fillId="0" borderId="0" xfId="0" applyFont="1" applyFill="1" applyBorder="1"/>
    <xf numFmtId="0" fontId="26" fillId="2" borderId="2" xfId="0" applyFont="1" applyFill="1" applyBorder="1" applyAlignment="1">
      <alignment horizontal="center" vertical="center"/>
    </xf>
    <xf numFmtId="0" fontId="26" fillId="11" borderId="3" xfId="0" applyFont="1" applyFill="1" applyBorder="1"/>
    <xf numFmtId="165" fontId="26" fillId="0" borderId="3" xfId="1" applyFont="1" applyBorder="1"/>
    <xf numFmtId="10" fontId="26" fillId="0" borderId="3" xfId="2" applyNumberFormat="1" applyFont="1" applyBorder="1"/>
    <xf numFmtId="0" fontId="27" fillId="11" borderId="4" xfId="0" applyFont="1" applyFill="1" applyBorder="1"/>
    <xf numFmtId="165" fontId="27" fillId="0" borderId="4" xfId="1" applyFont="1" applyBorder="1"/>
    <xf numFmtId="10" fontId="27" fillId="0" borderId="4" xfId="2" applyNumberFormat="1" applyFont="1" applyBorder="1"/>
    <xf numFmtId="0" fontId="27" fillId="11" borderId="5" xfId="0" applyFont="1" applyFill="1" applyBorder="1"/>
    <xf numFmtId="165" fontId="27" fillId="0" borderId="5" xfId="1" applyFont="1" applyBorder="1"/>
    <xf numFmtId="10" fontId="27" fillId="0" borderId="5" xfId="2" applyNumberFormat="1" applyFont="1" applyBorder="1"/>
    <xf numFmtId="0" fontId="26" fillId="11" borderId="2" xfId="0" applyFont="1" applyFill="1" applyBorder="1"/>
    <xf numFmtId="165" fontId="26" fillId="0" borderId="2" xfId="1" applyFont="1" applyBorder="1"/>
    <xf numFmtId="10" fontId="26" fillId="0" borderId="2" xfId="2" applyNumberFormat="1" applyFont="1" applyBorder="1"/>
    <xf numFmtId="0" fontId="26" fillId="2" borderId="2" xfId="0" applyFont="1" applyFill="1" applyBorder="1"/>
    <xf numFmtId="165" fontId="26" fillId="2" borderId="2" xfId="1" applyFont="1" applyFill="1" applyBorder="1"/>
    <xf numFmtId="0" fontId="32" fillId="17" borderId="2" xfId="0" applyFont="1" applyFill="1" applyBorder="1" applyAlignment="1">
      <alignment horizontal="center" vertical="center"/>
    </xf>
    <xf numFmtId="0" fontId="32" fillId="17" borderId="18" xfId="0" applyFont="1" applyFill="1" applyBorder="1" applyAlignment="1">
      <alignment horizontal="center" vertical="center"/>
    </xf>
    <xf numFmtId="165" fontId="32" fillId="17" borderId="2" xfId="1" applyFont="1" applyFill="1" applyBorder="1"/>
    <xf numFmtId="10" fontId="32" fillId="17" borderId="2" xfId="2" applyNumberFormat="1" applyFont="1" applyFill="1" applyBorder="1"/>
    <xf numFmtId="0" fontId="31" fillId="15" borderId="2" xfId="0" applyFont="1" applyFill="1" applyBorder="1" applyAlignment="1">
      <alignment horizontal="center" vertical="center"/>
    </xf>
    <xf numFmtId="165" fontId="31" fillId="15" borderId="2" xfId="1" applyFont="1" applyFill="1" applyBorder="1"/>
    <xf numFmtId="10" fontId="31" fillId="15" borderId="2" xfId="2" applyNumberFormat="1" applyFont="1" applyFill="1" applyBorder="1"/>
    <xf numFmtId="0" fontId="21" fillId="14" borderId="25" xfId="7" applyFont="1" applyFill="1" applyBorder="1" applyAlignment="1">
      <alignment horizontal="center"/>
    </xf>
    <xf numFmtId="0" fontId="19" fillId="14" borderId="32" xfId="7" applyFont="1" applyFill="1" applyBorder="1" applyAlignment="1">
      <alignment horizontal="left"/>
    </xf>
    <xf numFmtId="0" fontId="20" fillId="14" borderId="32" xfId="7" applyFont="1" applyFill="1" applyBorder="1" applyAlignment="1">
      <alignment horizontal="left"/>
    </xf>
    <xf numFmtId="0" fontId="23" fillId="18" borderId="25" xfId="8" applyFont="1" applyFill="1" applyBorder="1" applyAlignment="1">
      <alignment horizontal="left"/>
    </xf>
    <xf numFmtId="10" fontId="19" fillId="14" borderId="33" xfId="7" applyNumberFormat="1" applyFont="1" applyFill="1" applyBorder="1"/>
    <xf numFmtId="0" fontId="21" fillId="14" borderId="34" xfId="7" applyFont="1" applyFill="1" applyBorder="1" applyAlignment="1">
      <alignment horizontal="center"/>
    </xf>
    <xf numFmtId="0" fontId="21" fillId="14" borderId="15" xfId="7" applyFont="1" applyFill="1" applyBorder="1" applyAlignment="1">
      <alignment horizontal="center"/>
    </xf>
    <xf numFmtId="0" fontId="19" fillId="14" borderId="35" xfId="7" applyFont="1" applyFill="1" applyBorder="1"/>
    <xf numFmtId="0" fontId="19" fillId="14" borderId="36" xfId="7" applyFont="1" applyFill="1" applyBorder="1"/>
    <xf numFmtId="10" fontId="23" fillId="18" borderId="34" xfId="6" applyNumberFormat="1" applyFont="1" applyFill="1" applyBorder="1" applyAlignment="1">
      <alignment horizontal="right"/>
    </xf>
    <xf numFmtId="10" fontId="23" fillId="18" borderId="15" xfId="6" applyNumberFormat="1" applyFont="1" applyFill="1" applyBorder="1" applyAlignment="1">
      <alignment horizontal="right"/>
    </xf>
    <xf numFmtId="10" fontId="23" fillId="18" borderId="34" xfId="9" applyNumberFormat="1" applyFont="1" applyFill="1" applyBorder="1"/>
    <xf numFmtId="10" fontId="23" fillId="18" borderId="15" xfId="9" applyNumberFormat="1" applyFont="1" applyFill="1" applyBorder="1"/>
    <xf numFmtId="10" fontId="23" fillId="18" borderId="37" xfId="9" applyNumberFormat="1" applyFont="1" applyFill="1" applyBorder="1"/>
    <xf numFmtId="10" fontId="23" fillId="18" borderId="16" xfId="9" applyNumberFormat="1" applyFont="1" applyFill="1" applyBorder="1"/>
    <xf numFmtId="10" fontId="24" fillId="18" borderId="16" xfId="9" applyNumberFormat="1" applyFont="1" applyFill="1" applyBorder="1"/>
    <xf numFmtId="10" fontId="24" fillId="18" borderId="17" xfId="9" applyNumberFormat="1" applyFont="1" applyFill="1" applyBorder="1"/>
    <xf numFmtId="0" fontId="8" fillId="14" borderId="29" xfId="7" applyFont="1" applyFill="1" applyBorder="1"/>
    <xf numFmtId="10" fontId="24" fillId="18" borderId="34" xfId="9" applyNumberFormat="1" applyFont="1" applyFill="1" applyBorder="1"/>
    <xf numFmtId="10" fontId="24" fillId="18" borderId="37" xfId="9" applyNumberFormat="1" applyFont="1" applyFill="1" applyBorder="1"/>
    <xf numFmtId="10" fontId="26" fillId="0" borderId="3" xfId="2" applyNumberFormat="1" applyFont="1" applyBorder="1" applyAlignment="1">
      <alignment horizontal="center" vertical="center"/>
    </xf>
    <xf numFmtId="10" fontId="26" fillId="0" borderId="2" xfId="2" applyNumberFormat="1" applyFont="1" applyBorder="1" applyAlignment="1">
      <alignment horizontal="center" vertical="center"/>
    </xf>
    <xf numFmtId="0" fontId="2" fillId="14" borderId="0" xfId="0" applyFont="1" applyFill="1" applyBorder="1"/>
    <xf numFmtId="0" fontId="25" fillId="14" borderId="0" xfId="0" applyFont="1" applyFill="1" applyBorder="1"/>
    <xf numFmtId="168" fontId="2" fillId="0" borderId="0" xfId="0" applyNumberFormat="1" applyFont="1" applyFill="1" applyBorder="1"/>
    <xf numFmtId="168" fontId="2" fillId="0" borderId="0" xfId="1" applyNumberFormat="1" applyFont="1" applyFill="1" applyBorder="1"/>
    <xf numFmtId="168" fontId="7" fillId="0" borderId="0" xfId="0" applyNumberFormat="1" applyFont="1" applyFill="1" applyBorder="1"/>
    <xf numFmtId="168" fontId="7" fillId="0" borderId="7" xfId="0" applyNumberFormat="1" applyFont="1" applyFill="1" applyBorder="1"/>
    <xf numFmtId="168" fontId="7" fillId="0" borderId="8" xfId="0" applyNumberFormat="1" applyFont="1" applyFill="1" applyBorder="1"/>
    <xf numFmtId="168" fontId="7" fillId="0" borderId="9" xfId="0" applyNumberFormat="1" applyFont="1" applyFill="1" applyBorder="1"/>
    <xf numFmtId="168" fontId="7" fillId="0" borderId="10" xfId="0" applyNumberFormat="1" applyFont="1" applyFill="1" applyBorder="1"/>
    <xf numFmtId="168" fontId="7" fillId="0" borderId="11" xfId="0" applyNumberFormat="1" applyFont="1" applyFill="1" applyBorder="1"/>
    <xf numFmtId="168" fontId="7" fillId="0" borderId="26" xfId="0" applyNumberFormat="1" applyFont="1" applyFill="1" applyBorder="1"/>
    <xf numFmtId="168" fontId="7" fillId="0" borderId="27" xfId="0" applyNumberFormat="1" applyFont="1" applyFill="1" applyBorder="1"/>
    <xf numFmtId="0" fontId="2" fillId="0" borderId="0" xfId="0" applyFont="1" applyFill="1" applyBorder="1" applyAlignment="1">
      <alignment horizontal="left"/>
    </xf>
    <xf numFmtId="0" fontId="2" fillId="0" borderId="0" xfId="0" pivotButton="1" applyFont="1" applyFill="1" applyBorder="1" applyAlignment="1"/>
    <xf numFmtId="0" fontId="2" fillId="0" borderId="0" xfId="0" applyFont="1" applyFill="1" applyBorder="1" applyAlignment="1"/>
    <xf numFmtId="10" fontId="2" fillId="14" borderId="0" xfId="0" applyNumberFormat="1" applyFont="1" applyFill="1" applyBorder="1"/>
    <xf numFmtId="10" fontId="19" fillId="14" borderId="28" xfId="2" applyNumberFormat="1" applyFont="1" applyFill="1" applyBorder="1"/>
    <xf numFmtId="165" fontId="2" fillId="14" borderId="0" xfId="1" applyFont="1" applyFill="1" applyBorder="1"/>
    <xf numFmtId="10" fontId="2" fillId="14" borderId="0" xfId="2" applyNumberFormat="1" applyFont="1" applyFill="1" applyBorder="1"/>
    <xf numFmtId="0" fontId="34" fillId="0" borderId="0" xfId="0" applyFont="1" applyFill="1" applyBorder="1"/>
    <xf numFmtId="0" fontId="35" fillId="19" borderId="0" xfId="0" applyFont="1" applyFill="1" applyBorder="1"/>
    <xf numFmtId="0" fontId="35" fillId="0" borderId="6" xfId="0" applyFont="1" applyFill="1" applyBorder="1" applyAlignment="1">
      <alignment horizontal="center"/>
    </xf>
    <xf numFmtId="0" fontId="34" fillId="0" borderId="6" xfId="0" applyFont="1" applyFill="1" applyBorder="1"/>
    <xf numFmtId="170" fontId="34" fillId="0" borderId="6" xfId="2" applyNumberFormat="1" applyFont="1" applyFill="1" applyBorder="1"/>
    <xf numFmtId="0" fontId="35" fillId="0" borderId="0" xfId="0" applyFont="1" applyFill="1" applyBorder="1"/>
    <xf numFmtId="0" fontId="35" fillId="0" borderId="6" xfId="0" applyFont="1" applyFill="1" applyBorder="1"/>
    <xf numFmtId="170" fontId="35" fillId="0" borderId="6" xfId="2" applyNumberFormat="1" applyFont="1" applyFill="1" applyBorder="1"/>
    <xf numFmtId="43" fontId="34" fillId="0" borderId="6" xfId="1" applyNumberFormat="1" applyFont="1" applyFill="1" applyBorder="1"/>
    <xf numFmtId="169" fontId="34" fillId="0" borderId="6" xfId="0" applyNumberFormat="1" applyFont="1" applyFill="1" applyBorder="1"/>
    <xf numFmtId="43" fontId="35" fillId="0" borderId="6" xfId="1" applyNumberFormat="1" applyFont="1" applyFill="1" applyBorder="1"/>
    <xf numFmtId="169" fontId="35" fillId="0" borderId="6" xfId="0" applyNumberFormat="1" applyFont="1" applyFill="1" applyBorder="1"/>
    <xf numFmtId="0" fontId="35" fillId="20" borderId="6" xfId="0" applyFont="1" applyFill="1" applyBorder="1"/>
    <xf numFmtId="43" fontId="35" fillId="20" borderId="6" xfId="1" applyNumberFormat="1" applyFont="1" applyFill="1" applyBorder="1"/>
    <xf numFmtId="10" fontId="25" fillId="14" borderId="0" xfId="2" applyNumberFormat="1" applyFont="1" applyFill="1" applyBorder="1"/>
    <xf numFmtId="172" fontId="26" fillId="0" borderId="3" xfId="10" applyNumberFormat="1" applyFont="1" applyBorder="1" applyAlignment="1">
      <alignment horizontal="center" vertical="center"/>
    </xf>
    <xf numFmtId="172" fontId="26" fillId="0" borderId="2" xfId="10" applyNumberFormat="1" applyFont="1" applyBorder="1" applyAlignment="1">
      <alignment horizontal="center" vertical="center"/>
    </xf>
    <xf numFmtId="0" fontId="37" fillId="17" borderId="2" xfId="0" applyFont="1" applyFill="1" applyBorder="1" applyAlignment="1">
      <alignment horizontal="center" vertical="center"/>
    </xf>
    <xf numFmtId="9" fontId="2" fillId="14" borderId="0" xfId="2" applyFont="1" applyFill="1" applyBorder="1"/>
    <xf numFmtId="0" fontId="12" fillId="17" borderId="6" xfId="3" applyFont="1" applyFill="1" applyBorder="1" applyAlignment="1" applyProtection="1">
      <alignment horizontal="center" vertical="center"/>
    </xf>
    <xf numFmtId="169" fontId="12" fillId="17" borderId="6" xfId="4" applyNumberFormat="1" applyFont="1" applyFill="1" applyBorder="1" applyAlignment="1" applyProtection="1">
      <alignment horizontal="center" vertical="center"/>
    </xf>
    <xf numFmtId="170" fontId="12" fillId="17" borderId="6" xfId="5" applyNumberFormat="1" applyFont="1" applyFill="1" applyBorder="1" applyAlignment="1" applyProtection="1">
      <alignment horizontal="center" vertical="center" wrapText="1"/>
    </xf>
    <xf numFmtId="10" fontId="12" fillId="17" borderId="6" xfId="5" applyNumberFormat="1" applyFont="1" applyFill="1" applyBorder="1" applyAlignment="1" applyProtection="1">
      <alignment horizontal="center" vertical="center"/>
    </xf>
    <xf numFmtId="169" fontId="12" fillId="17" borderId="6" xfId="4" applyNumberFormat="1" applyFont="1" applyFill="1" applyBorder="1" applyAlignment="1" applyProtection="1">
      <alignment horizontal="center" vertical="center" wrapText="1"/>
    </xf>
    <xf numFmtId="9" fontId="12" fillId="17" borderId="6" xfId="5" applyFont="1" applyFill="1" applyBorder="1" applyAlignment="1" applyProtection="1">
      <alignment horizontal="center" vertical="center" wrapText="1"/>
    </xf>
    <xf numFmtId="0" fontId="13" fillId="15" borderId="6" xfId="3" applyNumberFormat="1" applyFont="1" applyFill="1" applyBorder="1" applyAlignment="1" applyProtection="1">
      <alignment horizontal="left" vertical="center" wrapText="1"/>
    </xf>
    <xf numFmtId="169" fontId="14" fillId="15" borderId="6" xfId="4" applyNumberFormat="1" applyFont="1" applyFill="1" applyBorder="1" applyAlignment="1" applyProtection="1">
      <alignment vertical="center"/>
    </xf>
    <xf numFmtId="10" fontId="14" fillId="15" borderId="6" xfId="5" applyNumberFormat="1" applyFont="1" applyFill="1" applyBorder="1" applyAlignment="1" applyProtection="1">
      <alignment vertical="center"/>
    </xf>
    <xf numFmtId="0" fontId="13" fillId="16" borderId="6" xfId="3" applyNumberFormat="1" applyFont="1" applyFill="1" applyBorder="1" applyAlignment="1" applyProtection="1">
      <alignment horizontal="left" vertical="center" wrapText="1"/>
    </xf>
    <xf numFmtId="169" fontId="14" fillId="16" borderId="6" xfId="4" applyNumberFormat="1" applyFont="1" applyFill="1" applyBorder="1" applyAlignment="1" applyProtection="1">
      <alignment vertical="center"/>
    </xf>
    <xf numFmtId="10" fontId="14" fillId="16" borderId="6" xfId="5" applyNumberFormat="1" applyFont="1" applyFill="1" applyBorder="1" applyAlignment="1" applyProtection="1">
      <alignment vertical="center"/>
    </xf>
    <xf numFmtId="0" fontId="16" fillId="0" borderId="6" xfId="3" applyNumberFormat="1" applyFont="1" applyFill="1" applyBorder="1" applyAlignment="1" applyProtection="1">
      <alignment horizontal="left" vertical="center" wrapText="1"/>
    </xf>
    <xf numFmtId="169" fontId="17" fillId="0" borderId="6" xfId="4" applyNumberFormat="1" applyFont="1" applyFill="1" applyBorder="1" applyAlignment="1" applyProtection="1">
      <alignment vertical="center"/>
    </xf>
    <xf numFmtId="3" fontId="17" fillId="0" borderId="6" xfId="3" applyNumberFormat="1" applyFont="1" applyFill="1" applyBorder="1" applyAlignment="1" applyProtection="1">
      <alignment vertical="center"/>
    </xf>
    <xf numFmtId="10" fontId="17" fillId="0" borderId="6" xfId="5" applyNumberFormat="1" applyFont="1" applyFill="1" applyBorder="1" applyAlignment="1" applyProtection="1">
      <alignment vertical="center"/>
    </xf>
    <xf numFmtId="0" fontId="14" fillId="15" borderId="6" xfId="3" applyFont="1" applyFill="1" applyBorder="1" applyAlignment="1" applyProtection="1">
      <alignment vertical="center"/>
    </xf>
    <xf numFmtId="169" fontId="14" fillId="15" borderId="6" xfId="3" applyNumberFormat="1" applyFont="1" applyFill="1" applyBorder="1" applyAlignment="1" applyProtection="1">
      <alignment vertical="center"/>
    </xf>
    <xf numFmtId="10" fontId="2" fillId="14" borderId="0" xfId="0" applyNumberFormat="1" applyFont="1" applyFill="1" applyBorder="1" applyAlignment="1">
      <alignment horizontal="right" vertical="center"/>
    </xf>
    <xf numFmtId="0" fontId="38" fillId="0" borderId="1" xfId="0" applyNumberFormat="1" applyFont="1" applyFill="1" applyBorder="1" applyAlignment="1">
      <alignment horizontal="center" vertical="center" wrapText="1" readingOrder="1"/>
    </xf>
    <xf numFmtId="0" fontId="38" fillId="0" borderId="0" xfId="0" applyNumberFormat="1" applyFont="1" applyFill="1" applyBorder="1" applyAlignment="1">
      <alignment horizontal="center" vertical="center" wrapText="1" readingOrder="1"/>
    </xf>
    <xf numFmtId="0" fontId="39" fillId="0" borderId="0" xfId="0" applyFont="1" applyFill="1" applyBorder="1"/>
    <xf numFmtId="0" fontId="40" fillId="0" borderId="1" xfId="0" applyNumberFormat="1" applyFont="1" applyFill="1" applyBorder="1" applyAlignment="1">
      <alignment horizontal="center" vertical="center" wrapText="1" readingOrder="1"/>
    </xf>
    <xf numFmtId="0" fontId="40" fillId="0" borderId="1" xfId="0" applyNumberFormat="1" applyFont="1" applyFill="1" applyBorder="1" applyAlignment="1">
      <alignment horizontal="left" vertical="center" wrapText="1" readingOrder="1"/>
    </xf>
    <xf numFmtId="0" fontId="40" fillId="0" borderId="1" xfId="0" applyNumberFormat="1" applyFont="1" applyFill="1" applyBorder="1" applyAlignment="1">
      <alignment vertical="center" wrapText="1" readingOrder="1"/>
    </xf>
    <xf numFmtId="166" fontId="40" fillId="0" borderId="1" xfId="0" applyNumberFormat="1" applyFont="1" applyFill="1" applyBorder="1" applyAlignment="1">
      <alignment horizontal="right" vertical="center" wrapText="1" readingOrder="1"/>
    </xf>
    <xf numFmtId="0" fontId="38" fillId="0" borderId="1" xfId="0" applyNumberFormat="1" applyFont="1" applyFill="1" applyBorder="1" applyAlignment="1">
      <alignment horizontal="left" vertical="center" wrapText="1" readingOrder="1"/>
    </xf>
    <xf numFmtId="0" fontId="41" fillId="0" borderId="1" xfId="0" applyNumberFormat="1" applyFont="1" applyFill="1" applyBorder="1" applyAlignment="1">
      <alignment horizontal="right" vertical="center" wrapText="1" readingOrder="1"/>
    </xf>
    <xf numFmtId="172" fontId="26" fillId="0" borderId="12" xfId="10" applyNumberFormat="1" applyFont="1" applyBorder="1" applyAlignment="1">
      <alignment horizontal="center" vertical="center"/>
    </xf>
    <xf numFmtId="172" fontId="26" fillId="0" borderId="38" xfId="10" applyNumberFormat="1" applyFont="1" applyBorder="1" applyAlignment="1">
      <alignment horizontal="center" vertical="center"/>
    </xf>
    <xf numFmtId="172" fontId="26" fillId="0" borderId="30" xfId="10" applyNumberFormat="1" applyFont="1" applyBorder="1" applyAlignment="1">
      <alignment horizontal="center" vertical="center"/>
    </xf>
    <xf numFmtId="10" fontId="26" fillId="0" borderId="12" xfId="2" applyNumberFormat="1" applyFont="1" applyBorder="1" applyAlignment="1">
      <alignment horizontal="center" vertical="center"/>
    </xf>
    <xf numFmtId="10" fontId="26" fillId="0" borderId="38" xfId="2" applyNumberFormat="1" applyFont="1" applyBorder="1" applyAlignment="1">
      <alignment horizontal="center" vertical="center"/>
    </xf>
    <xf numFmtId="10" fontId="26" fillId="0" borderId="30" xfId="2" applyNumberFormat="1" applyFont="1" applyBorder="1" applyAlignment="1">
      <alignment horizontal="center" vertical="center"/>
    </xf>
    <xf numFmtId="165" fontId="26" fillId="0" borderId="12" xfId="1" applyFont="1" applyBorder="1" applyAlignment="1">
      <alignment horizontal="right" vertical="center"/>
    </xf>
    <xf numFmtId="165" fontId="26" fillId="0" borderId="38" xfId="1" applyFont="1" applyBorder="1" applyAlignment="1">
      <alignment horizontal="right" vertical="center"/>
    </xf>
    <xf numFmtId="165" fontId="26" fillId="0" borderId="30" xfId="1" applyFont="1" applyBorder="1" applyAlignment="1">
      <alignment horizontal="right" vertical="center"/>
    </xf>
    <xf numFmtId="10" fontId="26" fillId="0" borderId="12" xfId="2" applyNumberFormat="1" applyFont="1" applyBorder="1" applyAlignment="1">
      <alignment horizontal="right" vertical="center"/>
    </xf>
    <xf numFmtId="10" fontId="26" fillId="0" borderId="38" xfId="2" applyNumberFormat="1" applyFont="1" applyBorder="1" applyAlignment="1">
      <alignment horizontal="right" vertical="center"/>
    </xf>
    <xf numFmtId="10" fontId="26" fillId="0" borderId="30" xfId="2" applyNumberFormat="1" applyFont="1" applyBorder="1" applyAlignment="1">
      <alignment horizontal="right" vertical="center"/>
    </xf>
    <xf numFmtId="165" fontId="26" fillId="0" borderId="12" xfId="1" applyFont="1" applyBorder="1" applyAlignment="1">
      <alignment horizontal="center" vertical="center"/>
    </xf>
    <xf numFmtId="165" fontId="26" fillId="0" borderId="38" xfId="1" applyFont="1" applyBorder="1" applyAlignment="1">
      <alignment horizontal="center" vertical="center"/>
    </xf>
    <xf numFmtId="165" fontId="26" fillId="0" borderId="30" xfId="1" applyFont="1" applyBorder="1" applyAlignment="1">
      <alignment horizontal="center" vertical="center"/>
    </xf>
    <xf numFmtId="0" fontId="33" fillId="0" borderId="0" xfId="0" applyFont="1" applyFill="1" applyBorder="1" applyAlignment="1">
      <alignment horizontal="center" vertical="center"/>
    </xf>
    <xf numFmtId="0" fontId="31" fillId="15" borderId="18" xfId="0" applyFont="1" applyFill="1" applyBorder="1" applyAlignment="1">
      <alignment horizontal="center"/>
    </xf>
    <xf numFmtId="0" fontId="31" fillId="15" borderId="31" xfId="0" applyFont="1" applyFill="1" applyBorder="1" applyAlignment="1">
      <alignment horizontal="center"/>
    </xf>
    <xf numFmtId="0" fontId="32" fillId="17" borderId="18" xfId="0" applyFont="1" applyFill="1" applyBorder="1" applyAlignment="1">
      <alignment horizontal="center"/>
    </xf>
    <xf numFmtId="0" fontId="32" fillId="17" borderId="31" xfId="0" applyFont="1" applyFill="1" applyBorder="1" applyAlignment="1">
      <alignment horizontal="center"/>
    </xf>
    <xf numFmtId="0" fontId="28" fillId="6" borderId="12" xfId="0" applyFont="1" applyFill="1" applyBorder="1" applyAlignment="1">
      <alignment horizontal="center" vertical="center"/>
    </xf>
    <xf numFmtId="0" fontId="28" fillId="6" borderId="30" xfId="0" applyFont="1" applyFill="1" applyBorder="1" applyAlignment="1">
      <alignment horizontal="center" vertical="center"/>
    </xf>
    <xf numFmtId="0" fontId="4" fillId="13" borderId="18" xfId="0" applyFont="1" applyFill="1" applyBorder="1" applyAlignment="1">
      <alignment horizontal="center" vertical="center"/>
    </xf>
    <xf numFmtId="0" fontId="4" fillId="13" borderId="19" xfId="0" applyFont="1" applyFill="1" applyBorder="1" applyAlignment="1">
      <alignment horizontal="center" vertical="center"/>
    </xf>
    <xf numFmtId="0" fontId="5" fillId="11" borderId="22" xfId="0" applyFont="1" applyFill="1" applyBorder="1" applyAlignment="1">
      <alignment horizontal="center" vertical="center"/>
    </xf>
    <xf numFmtId="0" fontId="5" fillId="11" borderId="23" xfId="0" applyFont="1" applyFill="1" applyBorder="1" applyAlignment="1">
      <alignment horizontal="center" vertical="center"/>
    </xf>
    <xf numFmtId="0" fontId="5" fillId="11" borderId="24" xfId="0" applyFont="1" applyFill="1" applyBorder="1" applyAlignment="1">
      <alignment horizontal="center" vertical="center"/>
    </xf>
    <xf numFmtId="0" fontId="0" fillId="11" borderId="22" xfId="0" applyFill="1" applyBorder="1" applyAlignment="1">
      <alignment horizontal="center" vertical="center"/>
    </xf>
    <xf numFmtId="0" fontId="0" fillId="11" borderId="23" xfId="0" applyFill="1" applyBorder="1" applyAlignment="1">
      <alignment horizontal="center" vertical="center"/>
    </xf>
    <xf numFmtId="0" fontId="0" fillId="11" borderId="24" xfId="0" applyFill="1" applyBorder="1" applyAlignment="1">
      <alignment horizontal="center"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36" fillId="14" borderId="39" xfId="7" applyFont="1" applyFill="1" applyBorder="1" applyAlignment="1">
      <alignment horizontal="center" vertical="center"/>
    </xf>
    <xf numFmtId="0" fontId="36" fillId="14" borderId="40" xfId="7" applyFont="1" applyFill="1" applyBorder="1" applyAlignment="1">
      <alignment horizontal="center" vertical="center"/>
    </xf>
    <xf numFmtId="0" fontId="36" fillId="14" borderId="41" xfId="7" applyFont="1" applyFill="1" applyBorder="1" applyAlignment="1">
      <alignment horizontal="center" vertical="center"/>
    </xf>
    <xf numFmtId="0" fontId="36" fillId="14" borderId="42" xfId="7" applyFont="1" applyFill="1" applyBorder="1" applyAlignment="1">
      <alignment horizontal="center" vertical="center"/>
    </xf>
    <xf numFmtId="0" fontId="36" fillId="14" borderId="10" xfId="7" applyFont="1" applyFill="1" applyBorder="1" applyAlignment="1">
      <alignment horizontal="center" vertical="center"/>
    </xf>
    <xf numFmtId="0" fontId="36" fillId="14" borderId="43" xfId="7" applyFont="1" applyFill="1" applyBorder="1" applyAlignment="1">
      <alignment horizontal="center" vertical="center"/>
    </xf>
  </cellXfs>
  <cellStyles count="11">
    <cellStyle name="Millares" xfId="1" builtinId="3"/>
    <cellStyle name="Millares 2" xfId="4"/>
    <cellStyle name="Moneda" xfId="10" builtinId="4"/>
    <cellStyle name="Normal" xfId="0" builtinId="0"/>
    <cellStyle name="Normal 2" xfId="3"/>
    <cellStyle name="Normal 3" xfId="7"/>
    <cellStyle name="Normal 3 2" xfId="8"/>
    <cellStyle name="Porcentaje" xfId="2" builtinId="5"/>
    <cellStyle name="Porcentaje 2" xfId="5"/>
    <cellStyle name="Porcentaje 3" xfId="6"/>
    <cellStyle name="Porcentaje 4" xfId="9"/>
  </cellStyles>
  <dxfs count="49">
    <dxf>
      <fill>
        <patternFill patternType="none">
          <bgColor auto="1"/>
        </patternFill>
      </fill>
    </dxf>
    <dxf>
      <fill>
        <patternFill patternType="none">
          <bgColor auto="1"/>
        </patternFill>
      </fill>
    </dxf>
    <dxf>
      <alignment wrapText="0" readingOrder="0"/>
    </dxf>
    <dxf>
      <alignment wrapText="0" indent="0" readingOrder="0"/>
    </dxf>
    <dxf>
      <alignment wrapText="0" indent="0" readingOrder="0"/>
    </dxf>
    <dxf>
      <alignment wrapText="0" indent="0" readingOrder="0"/>
    </dxf>
    <dxf>
      <alignment wrapText="0" indent="0" readingOrder="0"/>
    </dxf>
    <dxf>
      <numFmt numFmtId="168" formatCode="_(* #,##0_);_(* \(#,##0\);_(* &quot;-&quot;??_);_(@_)"/>
    </dxf>
    <dxf>
      <numFmt numFmtId="168" formatCode="_(* #,##0_);_(* \(#,##0\);_(* &quot;-&quot;??_);_(@_)"/>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font>
        <sz val="9"/>
      </font>
    </dxf>
    <dxf>
      <font>
        <sz val="9"/>
      </font>
    </dxf>
    <dxf>
      <font>
        <sz val="9"/>
      </font>
    </dxf>
    <dxf>
      <font>
        <sz val="9"/>
      </font>
    </dxf>
    <dxf>
      <font>
        <sz val="9"/>
      </font>
    </dxf>
    <dxf>
      <font>
        <sz val="9"/>
      </font>
    </dxf>
    <dxf>
      <font>
        <sz val="9"/>
      </font>
    </dxf>
    <dxf>
      <numFmt numFmtId="168" formatCode="_(* #,##0_);_(* \(#,##0\);_(* &quot;-&quot;??_);_(@_)"/>
    </dxf>
    <dxf>
      <numFmt numFmtId="168" formatCode="_(* #,##0_);_(* \(#,##0\);_(* &quot;-&quot;??_);_(@_)"/>
    </dxf>
    <dxf>
      <numFmt numFmtId="168" formatCode="_(* #,##0_);_(* \(#,##0\);_(* &quot;-&quot;??_);_(@_)"/>
    </dxf>
    <dxf>
      <numFmt numFmtId="168" formatCode="_(* #,##0_);_(* \(#,##0\);_(* &quot;-&quot;??_);_(@_)"/>
    </dxf>
    <dxf>
      <numFmt numFmtId="168" formatCode="_(* #,##0_);_(* \(#,##0\);_(* &quot;-&quot;??_);_(@_)"/>
    </dxf>
    <dxf>
      <numFmt numFmtId="168" formatCode="_(* #,##0_);_(* \(#,##0\);_(* &quot;-&quot;??_);_(@_)"/>
    </dxf>
    <dxf>
      <numFmt numFmtId="168" formatCode="_(* #,##0_);_(* \(#,##0\);_(* &quot;-&quot;??_);_(@_)"/>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indent="0" readingOrder="0"/>
    </dxf>
    <dxf>
      <alignment wrapText="1" indent="0" readingOrder="0"/>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00"/>
      <color rgb="FFFDAA0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400051</xdr:colOff>
      <xdr:row>0</xdr:row>
      <xdr:rowOff>0</xdr:rowOff>
    </xdr:from>
    <xdr:to>
      <xdr:col>0</xdr:col>
      <xdr:colOff>2524125</xdr:colOff>
      <xdr:row>5</xdr:row>
      <xdr:rowOff>180586</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51" y="0"/>
          <a:ext cx="2124074" cy="13116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581026</xdr:colOff>
      <xdr:row>0</xdr:row>
      <xdr:rowOff>0</xdr:rowOff>
    </xdr:from>
    <xdr:to>
      <xdr:col>2</xdr:col>
      <xdr:colOff>1081376</xdr:colOff>
      <xdr:row>7</xdr:row>
      <xdr:rowOff>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43026" y="0"/>
          <a:ext cx="2159288" cy="1397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barrero/Documents/Lorena%20Barrero/2019/WEB%20SIC/INFORME%20EPA%20OCTUBRExls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camontano/Documents/2016/PRESUPUESTO/INFORMES/EJECU%20AGREGADA%20PENDIEN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lbarrero/Documents/Lorena%20Barrero/2019/WEB%20SIC/Metas%20de%20Ejecuci&#243;n%20Presupuestal%20-%20Vigencia%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WEB"/>
      <sheetName val="METAS"/>
      <sheetName val="EJECUCIÓN"/>
      <sheetName val="TD-EPA RECURSO"/>
      <sheetName val="TD-EPA"/>
      <sheetName val="EPA - SIIF"/>
      <sheetName val="METAS EJEC. SIC - MINCIT"/>
    </sheetNames>
    <sheetDataSet>
      <sheetData sheetId="0" refreshError="1"/>
      <sheetData sheetId="1" refreshError="1"/>
      <sheetData sheetId="2" refreshError="1"/>
      <sheetData sheetId="3" refreshError="1"/>
      <sheetData sheetId="4">
        <row r="6">
          <cell r="A6" t="str">
            <v>SALARIO</v>
          </cell>
        </row>
        <row r="7">
          <cell r="A7" t="str">
            <v>CONTRIBUCIONES INHERENTES A LA NÓMINA</v>
          </cell>
        </row>
        <row r="8">
          <cell r="A8" t="str">
            <v>REMUNERACIONES NO CONSTITUTIVAS DE FACTOR SALARIAL</v>
          </cell>
        </row>
        <row r="9">
          <cell r="A9" t="str">
            <v>OTROS GASTOS DE PERSONAL - DISTRIBUCIÓN PREVIO CONCEPTO DGPPN</v>
          </cell>
        </row>
        <row r="11">
          <cell r="A11" t="str">
            <v>ADQUISICIÓN DE ACTIVOS NO FINANCIEROS</v>
          </cell>
        </row>
        <row r="12">
          <cell r="A12" t="str">
            <v>ADQUISICIONES DIFERENTES DE ACTIVOS</v>
          </cell>
        </row>
        <row r="14">
          <cell r="A14" t="str">
            <v>CONVENCION DEL METRO - OFICINA INTERNACIONAL DE PESAS Y MEDIDAS - BIPM. LEY 1512 DE 2012</v>
          </cell>
        </row>
        <row r="15">
          <cell r="A15" t="str">
            <v>ORGANIZACION PARA LA COOPERACION Y EL DESARROLLO ECONOMICO OCDE-ARTICULO 47 LEY 1450 DE 2011</v>
          </cell>
        </row>
        <row r="16">
          <cell r="A16" t="str">
            <v>PROVISIÓN PARA GASTOS INSTITUCIONALES Y/O SECTORIALES CONTINGENTES- PREVIO CONCEPTO DGPPN</v>
          </cell>
        </row>
        <row r="17">
          <cell r="A17" t="str">
            <v>MESADAS PENSIONALES (DE PENSIONES)</v>
          </cell>
        </row>
        <row r="18">
          <cell r="A18" t="str">
            <v>APORTE PREVISION SOCIAL SERVICIOS MEDICOS (NO DE PENSIONES)</v>
          </cell>
        </row>
        <row r="19">
          <cell r="A19" t="str">
            <v>SENTENCIAS</v>
          </cell>
        </row>
        <row r="20">
          <cell r="A20" t="str">
            <v>CONCILIACIONES</v>
          </cell>
        </row>
        <row r="21">
          <cell r="A21" t="str">
            <v>INCAPACIDADES Y LICENCIAS DE MATERNIDAD Y PATERNIDAD (NO DE PENSIONES)</v>
          </cell>
        </row>
        <row r="23">
          <cell r="A23" t="str">
            <v>IMPUESTOS</v>
          </cell>
        </row>
        <row r="24">
          <cell r="A24" t="str">
            <v>CUOTA DE FISCALIZACIÓN Y AUDITAJE</v>
          </cell>
        </row>
        <row r="27">
          <cell r="A27" t="str">
            <v>INCREMENTO DE LA COBERTURA DE LOS SERVICIOS DE LA RED NACIONAL DE PROTECCIÓN AL CONSUMIDOR EN EL TERRITORIO  NACIONAL</v>
          </cell>
        </row>
        <row r="28">
          <cell r="A28" t="str">
            <v>MEJORAMIENTO DEL CONTROL Y VIGILANCIA A LAS CÁMARAS DE COMERCIO Y COMERCIANTES A NIVEL  NACIONAL</v>
          </cell>
        </row>
        <row r="29">
          <cell r="A29" t="str">
            <v>FORTALECIMIENTO DE LA FUNCIÓN JURISDICCIONAL DE LA SUPERINTENDENCIA DE INDUSTRIA Y COMERCIO A NIVEL  NACIONAL</v>
          </cell>
        </row>
        <row r="30">
          <cell r="A30" t="str">
            <v>FORTALECIMIENTO DE LA PROTECCIÓN DE DATOS PERSONALES A NIVEL  NACIONAL</v>
          </cell>
        </row>
        <row r="31">
          <cell r="A31" t="str">
            <v>FORTALECIMIENTO DEL RÉGIMEN DE PROTECCIÓN DE LA LIBRE COMPETENCIA ECONÓMICA EN LOS MERCADOS A NIVEL  NACIONAL</v>
          </cell>
        </row>
        <row r="32">
          <cell r="A32" t="str">
            <v>FORTALECIMIENTO DE LA ATENCIÓN Y PROMOCIÓN DE TRÁMITES Y SERVICIOS EN EL MARCO DEL SISTEMA DE PROPIEDAD INDUSTRIAL A NIVEL  NACIONAL</v>
          </cell>
        </row>
        <row r="33">
          <cell r="A33" t="str">
            <v>MEJORAMIENTO EN LA EJECUCIÓN DE LAS FUNCIONES ASIGNADAS EN MATERIA DE PROTECCIÓN AL CONSUMIDOR A NIVEL  NACIONAL</v>
          </cell>
        </row>
        <row r="34">
          <cell r="A34" t="str">
            <v>FORTALECIMIENTO DE LA FUNCIÓN DE INSPECCIÓN, CONTROL Y VIGILANCIA DE LA SUPERINTENDENCIA DE INDUSTRIA Y COMERCIO EN EL MARCO DEL SUBSISTEMA NACIONAL DE CALIDAD, EL RÉGIMEN DE CONTROL DE PRECIOS Y EL SECTOR VALUATORIO A NIVEL  NACIONAL</v>
          </cell>
        </row>
        <row r="36">
          <cell r="A36" t="str">
            <v>IMPLEMENTACIÓN DE UNA SOLUCIÓN INMOBILIARIA PARA LA SUPERINTENDENCIA DE INDUSTRIA Y COMERCIO EN  BOGOTÁ</v>
          </cell>
        </row>
        <row r="37">
          <cell r="A37" t="str">
            <v>FORTALECIMIENTO DEL SISTEMA DE ATENCIÓN AL CIUDADANO DE LA SUPERINTENDENCIA DE INDUSTRIA Y COMERCIO A NIVEL  NACIONAL</v>
          </cell>
        </row>
        <row r="38">
          <cell r="A38" t="str">
            <v>MEJORAMIENTO DE LOS SISTEMAS DE INFORMACIÓN Y SERVICIOS TECNOLÓGICOS DE LA SUPERINTENDENCIA DE INDUSTRIA Y COMERCIO EN EL TERRITORIO  NACIONAL</v>
          </cell>
        </row>
        <row r="39">
          <cell r="A39" t="str">
            <v>MEJORAMIENTO DE LA INFRAESTRUCTURA FÍSICA DE LA SEDE DE LA SUPERINTENDENCIA DE INDUSTRIA Y COMERCIO EN  BOGOTÁ</v>
          </cell>
        </row>
        <row r="40">
          <cell r="A40" t="str">
            <v>MEJORAMIENTO EN LA CALIDAD DE LA GESTIÓN ESTRATÉGICA DE LA SUPERINTENDENCIA DE INDUSTRIA Y COMERCIO A NIVEL  NACIONAL</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METAS"/>
      <sheetName val="Hoja1"/>
      <sheetName val="REP_EPG034_EjecucionPresupuesta"/>
      <sheetName val="BASE INFORME"/>
      <sheetName val="CONSOL CUENTA"/>
      <sheetName val="APROPIACIÓN"/>
      <sheetName val="EJECU"/>
      <sheetName val="METAS-SIC"/>
    </sheetNames>
    <sheetDataSet>
      <sheetData sheetId="0"/>
      <sheetData sheetId="1"/>
      <sheetData sheetId="2">
        <row r="32">
          <cell r="P32">
            <v>140494883000</v>
          </cell>
          <cell r="S32">
            <v>140494883000</v>
          </cell>
          <cell r="U32">
            <v>109011553434.08</v>
          </cell>
          <cell r="W32">
            <v>52683715194.550003</v>
          </cell>
          <cell r="X32">
            <v>4921250239.1999998</v>
          </cell>
          <cell r="Z32">
            <v>4272373041.46</v>
          </cell>
        </row>
      </sheetData>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FUNCIONAMIENTO 201"/>
      <sheetName val="Hoja1"/>
      <sheetName val="Compromisos"/>
      <sheetName val="Obligaciones"/>
      <sheetName val="Fechas de los PAA para corte"/>
    </sheetNames>
    <sheetDataSet>
      <sheetData sheetId="0">
        <row r="5">
          <cell r="F5">
            <v>0.28839999999999999</v>
          </cell>
          <cell r="G5">
            <v>0.3589</v>
          </cell>
          <cell r="I5">
            <v>0.52549999999999997</v>
          </cell>
          <cell r="J5">
            <v>0.58609999999999995</v>
          </cell>
          <cell r="K5">
            <v>0.69286376460335053</v>
          </cell>
          <cell r="L5">
            <v>0.75305651245796446</v>
          </cell>
          <cell r="M5">
            <v>0.81465628777757348</v>
          </cell>
          <cell r="R5">
            <v>0.25840000000000002</v>
          </cell>
          <cell r="S5">
            <v>0.34493965102444579</v>
          </cell>
          <cell r="U5">
            <v>0.50467480280387</v>
          </cell>
          <cell r="V5">
            <v>0.56792579338476379</v>
          </cell>
          <cell r="W5">
            <v>0.63973723142016892</v>
          </cell>
          <cell r="X5">
            <v>0.71038841187412627</v>
          </cell>
          <cell r="Y5">
            <v>0.78076673262284013</v>
          </cell>
        </row>
      </sheetData>
      <sheetData sheetId="1" refreshError="1"/>
      <sheetData sheetId="2">
        <row r="21">
          <cell r="M21">
            <v>0.63372730781296971</v>
          </cell>
          <cell r="P21">
            <v>0.66907001079660144</v>
          </cell>
          <cell r="V21">
            <v>0.93969291883672768</v>
          </cell>
          <cell r="Y21">
            <v>0.95241993049252571</v>
          </cell>
          <cell r="AB21">
            <v>0.95916382145948298</v>
          </cell>
          <cell r="AE21">
            <v>0.96852864040678455</v>
          </cell>
          <cell r="AH21">
            <v>0.97045118890455118</v>
          </cell>
        </row>
      </sheetData>
      <sheetData sheetId="3">
        <row r="21">
          <cell r="M21">
            <v>0.13952399026494403</v>
          </cell>
          <cell r="P21">
            <v>0.19506340237722664</v>
          </cell>
          <cell r="V21">
            <v>0.32439312116948443</v>
          </cell>
          <cell r="Y21">
            <v>0.39313816061597368</v>
          </cell>
          <cell r="AB21">
            <v>0.45828676795742346</v>
          </cell>
          <cell r="AE21">
            <v>0.53822208976998065</v>
          </cell>
          <cell r="AH21">
            <v>0.61464045336649287</v>
          </cell>
        </row>
      </sheetData>
      <sheetData sheetId="4"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Lorena Steffania Barrero Quiñonez" refreshedDate="43801.388805439812" createdVersion="5" refreshedVersion="5" minRefreshableVersion="3" recordCount="32">
  <cacheSource type="worksheet">
    <worksheetSource ref="A4:AA36" sheet="EPA - SIIF"/>
  </cacheSource>
  <cacheFields count="27">
    <cacheField name="UEJ" numFmtId="0">
      <sharedItems/>
    </cacheField>
    <cacheField name="NOMBRE UEJ" numFmtId="0">
      <sharedItems/>
    </cacheField>
    <cacheField name="RUBRO" numFmtId="0">
      <sharedItems/>
    </cacheField>
    <cacheField name="TIPO" numFmtId="0">
      <sharedItems count="2">
        <s v="A"/>
        <s v="C"/>
      </sharedItems>
    </cacheField>
    <cacheField name="CTA" numFmtId="0">
      <sharedItems count="6">
        <s v="01"/>
        <s v="02"/>
        <s v="03"/>
        <s v="08"/>
        <s v="3503"/>
        <s v="3599"/>
      </sharedItems>
    </cacheField>
    <cacheField name="SUB_x000a_CTA" numFmtId="0">
      <sharedItems/>
    </cacheField>
    <cacheField name="OBJ" numFmtId="0">
      <sharedItems containsBlank="1"/>
    </cacheField>
    <cacheField name="ORD" numFmtId="0">
      <sharedItems containsBlank="1"/>
    </cacheField>
    <cacheField name="SOR_x000a_ORD" numFmtId="0">
      <sharedItems containsNonDate="0" containsString="0" containsBlank="1"/>
    </cacheField>
    <cacheField name="ITEM" numFmtId="0">
      <sharedItems containsNonDate="0" containsString="0" containsBlank="1"/>
    </cacheField>
    <cacheField name="SUB_x000a_ITEM" numFmtId="0">
      <sharedItems containsNonDate="0" containsString="0" containsBlank="1"/>
    </cacheField>
    <cacheField name="SUB_x000a_ITEM 2" numFmtId="0">
      <sharedItems containsNonDate="0" containsString="0" containsBlank="1"/>
    </cacheField>
    <cacheField name="FUENTE" numFmtId="0">
      <sharedItems/>
    </cacheField>
    <cacheField name="REC" numFmtId="0">
      <sharedItems count="3">
        <s v="20"/>
        <s v="11"/>
        <s v="21"/>
      </sharedItems>
    </cacheField>
    <cacheField name="SIT" numFmtId="0">
      <sharedItems/>
    </cacheField>
    <cacheField name="DESCRIPCION" numFmtId="0">
      <sharedItems/>
    </cacheField>
    <cacheField name="APR. INICIAL" numFmtId="166">
      <sharedItems containsSemiMixedTypes="0" containsString="0" containsNumber="1" containsInteger="1" minValue="0" maxValue="40628002000"/>
    </cacheField>
    <cacheField name="APR. ADICIONADA" numFmtId="166">
      <sharedItems containsSemiMixedTypes="0" containsString="0" containsNumber="1" containsInteger="1" minValue="0" maxValue="7200000000"/>
    </cacheField>
    <cacheField name="APR. REDUCIDA" numFmtId="166">
      <sharedItems containsSemiMixedTypes="0" containsString="0" containsNumber="1" containsInteger="1" minValue="0" maxValue="29942724538"/>
    </cacheField>
    <cacheField name="APR. VIGENTE" numFmtId="166">
      <sharedItems containsSemiMixedTypes="0" containsString="0" containsNumber="1" containsInteger="1" minValue="0" maxValue="39427254112"/>
    </cacheField>
    <cacheField name="APR BLOQUEADA" numFmtId="166">
      <sharedItems containsSemiMixedTypes="0" containsString="0" containsNumber="1" containsInteger="1" minValue="0" maxValue="2424898603"/>
    </cacheField>
    <cacheField name="CDP" numFmtId="166">
      <sharedItems containsSemiMixedTypes="0" containsString="0" containsNumber="1" minValue="0" maxValue="36977225033.800003"/>
    </cacheField>
    <cacheField name="APR. DISPONIBLE" numFmtId="166">
      <sharedItems containsSemiMixedTypes="0" containsString="0" containsNumber="1" minValue="0" maxValue="1212341431.5"/>
    </cacheField>
    <cacheField name="COMPROMISO" numFmtId="166">
      <sharedItems containsSemiMixedTypes="0" containsString="0" containsNumber="1" minValue="0" maxValue="36439505111.800003"/>
    </cacheField>
    <cacheField name="OBLIGACION" numFmtId="166">
      <sharedItems containsSemiMixedTypes="0" containsString="0" containsNumber="1" minValue="0" maxValue="29147718774"/>
    </cacheField>
    <cacheField name="ORDEN PAGO" numFmtId="166">
      <sharedItems containsSemiMixedTypes="0" containsString="0" containsNumber="1" minValue="0" maxValue="29147718774"/>
    </cacheField>
    <cacheField name="PAGOS" numFmtId="166">
      <sharedItems containsSemiMixedTypes="0" containsString="0" containsNumber="1" minValue="0" maxValue="29147718774"/>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Lorena Steffania Barrero Quiñonez" refreshedDate="43801.393542824073" createdVersion="5" refreshedVersion="5" minRefreshableVersion="3" recordCount="35">
  <cacheSource type="worksheet">
    <worksheetSource ref="A4:AA39" sheet="EPA - SIIF"/>
  </cacheSource>
  <cacheFields count="27">
    <cacheField name="UEJ" numFmtId="0">
      <sharedItems/>
    </cacheField>
    <cacheField name="NOMBRE UEJ" numFmtId="0">
      <sharedItems/>
    </cacheField>
    <cacheField name="RUBRO" numFmtId="0">
      <sharedItems/>
    </cacheField>
    <cacheField name="TIPO" numFmtId="0">
      <sharedItems count="2">
        <s v="A"/>
        <s v="C"/>
      </sharedItems>
    </cacheField>
    <cacheField name="CTA" numFmtId="0">
      <sharedItems count="6">
        <s v="01"/>
        <s v="02"/>
        <s v="03"/>
        <s v="08"/>
        <s v="3503"/>
        <s v="3599"/>
      </sharedItems>
    </cacheField>
    <cacheField name="SUB_x000a_CTA" numFmtId="0">
      <sharedItems/>
    </cacheField>
    <cacheField name="OBJ" numFmtId="0">
      <sharedItems containsBlank="1"/>
    </cacheField>
    <cacheField name="ORD" numFmtId="0">
      <sharedItems containsBlank="1"/>
    </cacheField>
    <cacheField name="SOR_x000a_ORD" numFmtId="0">
      <sharedItems containsBlank="1"/>
    </cacheField>
    <cacheField name="ITEM" numFmtId="0">
      <sharedItems containsBlank="1"/>
    </cacheField>
    <cacheField name="SUB_x000a_ITEM" numFmtId="0">
      <sharedItems containsBlank="1"/>
    </cacheField>
    <cacheField name="SUB_x000a_ITEM 2" numFmtId="0">
      <sharedItems containsBlank="1"/>
    </cacheField>
    <cacheField name="FUENTE" numFmtId="0">
      <sharedItems/>
    </cacheField>
    <cacheField name="REC" numFmtId="0">
      <sharedItems/>
    </cacheField>
    <cacheField name="SIT" numFmtId="0">
      <sharedItems/>
    </cacheField>
    <cacheField name="DESCRIPCION" numFmtId="0">
      <sharedItems count="31">
        <s v="SALARIO"/>
        <s v="CONTRIBUCIONES INHERENTES A LA NÓMINA"/>
        <s v="REMUNERACIONES NO CONSTITUTIVAS DE FACTOR SALARIAL"/>
        <s v="OTROS GASTOS DE PERSONAL - DISTRIBUCIÓN PREVIO CONCEPTO DGPPN"/>
        <s v="CONTRIBUCIONES INHERENTES A LA NÓMINA "/>
        <s v="ADQUISICIÓN DE ACTIVOS NO FINANCIEROS"/>
        <s v="ADQUISICIONES DIFERENTES DE ACTIVOS"/>
        <s v="CONVENCION DEL METRO - OFICINA INTERNACIONAL DE PESAS Y MEDIDAS - BIPM. LEY 1512 DE 2012"/>
        <s v="ORGANIZACION PARA LA COOPERACION Y EL DESARROLLO ECONOMICO OCDE-ARTICULO 47 LEY 1450 DE 2011"/>
        <s v="PROVISIÓN PARA GASTOS INSTITUCIONALES Y/O SECTORIALES CONTINGENTES- PREVIO CONCEPTO DGPPN"/>
        <s v="MESADAS PENSIONALES (DE PENSIONES)"/>
        <s v="INCAPACIDADES Y LICENCIAS DE MATERNIDAD Y PATERNIDAD (NO DE PENSIONES)"/>
        <s v="APORTE PREVISION SOCIAL SERVICIOS MEDICOS (NO DE PENSIONES)"/>
        <s v="SENTENCIAS"/>
        <s v="CONCILIACIONES"/>
        <s v="IMPUESTOS"/>
        <s v="CUOTA DE FISCALIZACIÓN Y AUDITAJE"/>
        <s v="INCREMENTO DE LA COBERTURA DE LOS SERVICIOS DE LA RED NACIONAL DE PROTECCIÓN AL CONSUMIDOR EN EL TERRITORIO  NACIONAL"/>
        <s v="MEJORAMIENTO DEL CONTROL Y VIGILANCIA A LAS CÁMARAS DE COMERCIO Y COMERCIANTES A NIVEL  NACIONAL"/>
        <s v="FORTALECIMIENTO DE LA FUNCIÓN JURISDICCIONAL DE LA SUPERINTENDENCIA DE INDUSTRIA Y COMERCIO A NIVEL  NACIONAL"/>
        <s v="FORTALECIMIENTO DE LA PROTECCIÓN DE DATOS PERSONALES A NIVEL  NACIONAL"/>
        <s v="FORTALECIMIENTO DEL RÉGIMEN DE PROTECCIÓN DE LA LIBRE COMPETENCIA ECONÓMICA EN LOS MERCADOS A NIVEL  NACIONAL"/>
        <s v="FORTALECIMIENTO DE LA ATENCIÓN Y PROMOCIÓN DE TRÁMITES Y SERVICIOS EN EL MARCO DEL SISTEMA DE PROPIEDAD INDUSTRIAL A NIVEL  NACIONAL"/>
        <s v="MEJORAMIENTO EN LA EJECUCIÓN DE LAS FUNCIONES ASIGNADAS EN MATERIA DE PROTECCIÓN AL CONSUMIDOR A NIVEL  NACIONAL"/>
        <s v="FORTALECIMIENTO DE LA FUNCIÓN DE INSPECCIÓN, CONTROL Y VIGILANCIA DE LA SUPERINTENDENCIA DE INDUSTRIA Y COMERCIO EN EL MARCO DEL SUBSISTEMA NACIONAL DE CALIDAD, EL RÉGIMEN DE CONTROL DE PRECIOS Y EL SECTOR VALUATORIO A NIVEL  NACIONAL"/>
        <s v="IMPLEMENTACIÓN DE UNA SOLUCIÓN INMOBILIARIA PARA LA SUPERINTENDENCIA DE INDUSTRIA Y COMERCIO EN  BOGOTÁ"/>
        <s v="FORTALECIMIENTO DEL SISTEMA DE ATENCIÓN AL CIUDADANO DE LA SUPERINTENDENCIA DE INDUSTRIA Y COMERCIO A NIVEL  NACIONAL"/>
        <s v="MEJORAMIENTO DE LOS SISTEMAS DE INFORMACIÓN Y SERVICIOS TECNOLÓGICOS DE LA SUPERINTENDENCIA DE INDUSTRIA Y COMERCIO EN EL TERRITORIO  NACIONAL"/>
        <s v="MEJORAMIENTO DE LA INFRAESTRUCTURA FÍSICA DE LA SEDE DE LA SUPERINTENDENCIA DE INDUSTRIA Y COMERCIO EN  BOGOTÁ"/>
        <s v="MEJORAMIENTO EN LA CALIDAD DE LA GESTIÓN ESTRATÉGICA DE LA SUPERINTENDENCIA DE INDUSTRIA Y COMERCIO A NIVEL  NACIONAL"/>
        <s v="IMPLEMENTACIÓN DE UNA SOLUCIÓN INMOBILIARIA PARA LA SUPERINTENDENCIA DE INDUSTRIA Y COMERCIO BOGOTÁ"/>
      </sharedItems>
    </cacheField>
    <cacheField name="APR. INICIAL" numFmtId="166">
      <sharedItems containsSemiMixedTypes="0" containsString="0" containsNumber="1" containsInteger="1" minValue="0" maxValue="40628002000"/>
    </cacheField>
    <cacheField name="APR. ADICIONADA" numFmtId="166">
      <sharedItems containsSemiMixedTypes="0" containsString="0" containsNumber="1" containsInteger="1" minValue="0" maxValue="29942724538"/>
    </cacheField>
    <cacheField name="APR. REDUCIDA" numFmtId="166">
      <sharedItems containsSemiMixedTypes="0" containsString="0" containsNumber="1" containsInteger="1" minValue="0" maxValue="29942724538"/>
    </cacheField>
    <cacheField name="APR. VIGENTE" numFmtId="166">
      <sharedItems containsSemiMixedTypes="0" containsString="0" containsNumber="1" containsInteger="1" minValue="0" maxValue="39427254112"/>
    </cacheField>
    <cacheField name="APR BLOQUEADA" numFmtId="166">
      <sharedItems containsSemiMixedTypes="0" containsString="0" containsNumber="1" containsInteger="1" minValue="0" maxValue="29942724538"/>
    </cacheField>
    <cacheField name="CDP" numFmtId="166">
      <sharedItems containsSemiMixedTypes="0" containsString="0" containsNumber="1" minValue="0" maxValue="36977225033.800003"/>
    </cacheField>
    <cacheField name="APR. DISPONIBLE" numFmtId="166">
      <sharedItems containsSemiMixedTypes="0" containsString="0" containsNumber="1" minValue="0" maxValue="1212341431.5"/>
    </cacheField>
    <cacheField name="COMPROMISO" numFmtId="166">
      <sharedItems containsSemiMixedTypes="0" containsString="0" containsNumber="1" minValue="0" maxValue="36439505111.800003"/>
    </cacheField>
    <cacheField name="OBLIGACION" numFmtId="166">
      <sharedItems containsSemiMixedTypes="0" containsString="0" containsNumber="1" minValue="0" maxValue="29147718774"/>
    </cacheField>
    <cacheField name="ORDEN PAGO" numFmtId="166">
      <sharedItems containsSemiMixedTypes="0" containsString="0" containsNumber="1" minValue="0" maxValue="29147718774"/>
    </cacheField>
    <cacheField name="PAGOS" numFmtId="166">
      <sharedItems containsSemiMixedTypes="0" containsString="0" containsNumber="1" minValue="0" maxValue="2914771877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2">
  <r>
    <s v="35-03-00"/>
    <s v="SUPERINTENDENCIA DE INDUSTRIA Y COMERCIO"/>
    <s v="A-01-01-01"/>
    <x v="0"/>
    <x v="0"/>
    <s v="01"/>
    <s v="01"/>
    <m/>
    <m/>
    <m/>
    <m/>
    <m/>
    <s v="Propios"/>
    <x v="0"/>
    <s v="CSF"/>
    <s v="SALARIO"/>
    <n v="40628002000"/>
    <n v="1507434000"/>
    <n v="7200000000"/>
    <n v="34935436000"/>
    <n v="0"/>
    <n v="34935436000"/>
    <n v="0"/>
    <n v="29453696464"/>
    <n v="29147718774"/>
    <n v="29147718774"/>
    <n v="29147718774"/>
  </r>
  <r>
    <s v="35-03-00"/>
    <s v="SUPERINTENDENCIA DE INDUSTRIA Y COMERCIO"/>
    <s v="A-01-01-02"/>
    <x v="0"/>
    <x v="0"/>
    <s v="01"/>
    <s v="02"/>
    <m/>
    <m/>
    <m/>
    <m/>
    <m/>
    <s v="Propios"/>
    <x v="0"/>
    <s v="CSF"/>
    <s v="CONTRIBUCIONES INHERENTES A LA NÓMINA"/>
    <n v="13022354000"/>
    <n v="205850000"/>
    <n v="0"/>
    <n v="13228204000"/>
    <n v="0"/>
    <n v="13022354000"/>
    <n v="205850000"/>
    <n v="10700267874"/>
    <n v="10700267872"/>
    <n v="10700267872"/>
    <n v="10700267872"/>
  </r>
  <r>
    <s v="35-03-00"/>
    <s v="SUPERINTENDENCIA DE INDUSTRIA Y COMERCIO"/>
    <s v="A-01-01-03"/>
    <x v="0"/>
    <x v="0"/>
    <s v="01"/>
    <s v="03"/>
    <m/>
    <m/>
    <m/>
    <m/>
    <m/>
    <s v="Propios"/>
    <x v="0"/>
    <s v="CSF"/>
    <s v="REMUNERACIONES NO CONSTITUTIVAS DE FACTOR SALARIAL"/>
    <n v="3243609000"/>
    <n v="7200000000"/>
    <n v="0"/>
    <n v="10443609000"/>
    <n v="0"/>
    <n v="10443609000"/>
    <n v="0"/>
    <n v="7065207939"/>
    <n v="7019636925"/>
    <n v="7019636925"/>
    <n v="7019636925"/>
  </r>
  <r>
    <s v="35-03-00"/>
    <s v="SUPERINTENDENCIA DE INDUSTRIA Y COMERCIO"/>
    <s v="A-01-01-04"/>
    <x v="0"/>
    <x v="0"/>
    <s v="01"/>
    <s v="04"/>
    <m/>
    <m/>
    <m/>
    <m/>
    <m/>
    <s v="Propios"/>
    <x v="0"/>
    <s v="CSF"/>
    <s v="OTROS GASTOS DE PERSONAL - DISTRIBUCIÓN PREVIO CONCEPTO DGPPN"/>
    <n v="1870031000"/>
    <n v="0"/>
    <n v="1713284000"/>
    <n v="156747000"/>
    <n v="156747000"/>
    <n v="0"/>
    <n v="0"/>
    <n v="0"/>
    <n v="0"/>
    <n v="0"/>
    <n v="0"/>
  </r>
  <r>
    <s v="35-03-00"/>
    <s v="SUPERINTENDENCIA DE INDUSTRIA Y COMERCIO"/>
    <s v="A-01-02-02"/>
    <x v="0"/>
    <x v="0"/>
    <s v="02"/>
    <s v="02"/>
    <m/>
    <m/>
    <m/>
    <m/>
    <m/>
    <s v="Propios"/>
    <x v="0"/>
    <s v="CSF"/>
    <s v="CONTRIBUCIONES INHERENTES A LA NÓMINA "/>
    <n v="0"/>
    <n v="205850000"/>
    <n v="205850000"/>
    <n v="0"/>
    <n v="0"/>
    <n v="0"/>
    <n v="0"/>
    <n v="0"/>
    <n v="0"/>
    <n v="0"/>
    <n v="0"/>
  </r>
  <r>
    <s v="35-03-00"/>
    <s v="SUPERINTENDENCIA DE INDUSTRIA Y COMERCIO"/>
    <s v="A-02-01"/>
    <x v="0"/>
    <x v="1"/>
    <s v="01"/>
    <m/>
    <m/>
    <m/>
    <m/>
    <m/>
    <m/>
    <s v="Propios"/>
    <x v="0"/>
    <s v="CSF"/>
    <s v="ADQUISICIÓN DE ACTIVOS NO FINANCIEROS"/>
    <n v="10000000"/>
    <n v="0"/>
    <n v="0"/>
    <n v="10000000"/>
    <n v="0"/>
    <n v="8237399"/>
    <n v="1762601"/>
    <n v="7781279"/>
    <n v="7758134"/>
    <n v="7758134"/>
    <n v="7758134"/>
  </r>
  <r>
    <s v="35-03-00"/>
    <s v="SUPERINTENDENCIA DE INDUSTRIA Y COMERCIO"/>
    <s v="A-02-02"/>
    <x v="0"/>
    <x v="1"/>
    <s v="02"/>
    <m/>
    <m/>
    <m/>
    <m/>
    <m/>
    <m/>
    <s v="Propios"/>
    <x v="0"/>
    <s v="CSF"/>
    <s v="ADQUISICIONES DIFERENTES DE ACTIVOS"/>
    <n v="12666328868"/>
    <n v="0"/>
    <n v="0"/>
    <n v="12666328868"/>
    <n v="0"/>
    <n v="12142877293.799999"/>
    <n v="523451574.19999999"/>
    <n v="11937899497.639999"/>
    <n v="9092896945.5100002"/>
    <n v="9087769095.5100002"/>
    <n v="9087769095.5100002"/>
  </r>
  <r>
    <s v="35-03-00"/>
    <s v="SUPERINTENDENCIA DE INDUSTRIA Y COMERCIO"/>
    <s v="A-03-02-02-097"/>
    <x v="0"/>
    <x v="2"/>
    <s v="02"/>
    <s v="02"/>
    <s v="097"/>
    <m/>
    <m/>
    <m/>
    <m/>
    <s v="Propios"/>
    <x v="0"/>
    <s v="CSF"/>
    <s v="CONVENCION DEL METRO - OFICINA INTERNACIONAL DE PESAS Y MEDIDAS - BIPM. LEY 1512 DE 2012"/>
    <n v="81269000"/>
    <n v="136250000"/>
    <n v="0"/>
    <n v="217519000"/>
    <n v="0"/>
    <n v="217519000"/>
    <n v="0"/>
    <n v="217474561"/>
    <n v="212785459"/>
    <n v="212785459"/>
    <n v="212785459"/>
  </r>
  <r>
    <s v="35-03-00"/>
    <s v="SUPERINTENDENCIA DE INDUSTRIA Y COMERCIO"/>
    <s v="A-03-02-02-105"/>
    <x v="0"/>
    <x v="2"/>
    <s v="02"/>
    <s v="02"/>
    <s v="105"/>
    <m/>
    <m/>
    <m/>
    <m/>
    <s v="Propios"/>
    <x v="0"/>
    <s v="CSF"/>
    <s v="ORGANIZACION PARA LA COOPERACION Y EL DESARROLLO ECONOMICO OCDE-ARTICULO 47 LEY 1450 DE 2011"/>
    <n v="206493000"/>
    <n v="0"/>
    <n v="121837000"/>
    <n v="84656000"/>
    <n v="0"/>
    <n v="84656000"/>
    <n v="0"/>
    <n v="84479553"/>
    <n v="84479553"/>
    <n v="84479553"/>
    <n v="84479553"/>
  </r>
  <r>
    <s v="35-03-00"/>
    <s v="SUPERINTENDENCIA DE INDUSTRIA Y COMERCIO"/>
    <s v="A-03-03-04-007"/>
    <x v="0"/>
    <x v="2"/>
    <s v="03"/>
    <s v="04"/>
    <s v="007"/>
    <m/>
    <m/>
    <m/>
    <m/>
    <s v="Propios"/>
    <x v="0"/>
    <s v="CSF"/>
    <s v="PROVISIÓN PARA GASTOS INSTITUCIONALES Y/O SECTORIALES CONTINGENTES- PREVIO CONCEPTO DGPPN"/>
    <n v="1446200000"/>
    <n v="0"/>
    <n v="0"/>
    <n v="1446200000"/>
    <n v="1446200000"/>
    <n v="0"/>
    <n v="0"/>
    <n v="0"/>
    <n v="0"/>
    <n v="0"/>
    <n v="0"/>
  </r>
  <r>
    <s v="35-03-00"/>
    <s v="SUPERINTENDENCIA DE INDUSTRIA Y COMERCIO"/>
    <s v="A-03-04-02-001"/>
    <x v="0"/>
    <x v="2"/>
    <s v="04"/>
    <s v="02"/>
    <s v="001"/>
    <m/>
    <m/>
    <m/>
    <m/>
    <s v="Propios"/>
    <x v="0"/>
    <s v="CSF"/>
    <s v="MESADAS PENSIONALES (DE PENSIONES)"/>
    <n v="418365000"/>
    <n v="0"/>
    <n v="14413000"/>
    <n v="403952000"/>
    <n v="0"/>
    <n v="403952000"/>
    <n v="0"/>
    <n v="359007154.69999999"/>
    <n v="358795648.82999998"/>
    <n v="358795648.82999998"/>
    <n v="358795648.82999998"/>
  </r>
  <r>
    <s v="35-03-00"/>
    <s v="SUPERINTENDENCIA DE INDUSTRIA Y COMERCIO"/>
    <s v="A-03-04-02-012"/>
    <x v="0"/>
    <x v="2"/>
    <s v="04"/>
    <s v="02"/>
    <s v="012"/>
    <m/>
    <m/>
    <m/>
    <m/>
    <s v="Propios"/>
    <x v="0"/>
    <s v="CSF"/>
    <s v="INCAPACIDADES Y LICENCIAS DE MATERNIDAD Y PATERNIDAD (NO DE PENSIONES)"/>
    <n v="128770000"/>
    <n v="0"/>
    <n v="0"/>
    <n v="128770000"/>
    <n v="0"/>
    <n v="128770000"/>
    <n v="0"/>
    <n v="25412615"/>
    <n v="25412615"/>
    <n v="25412615"/>
    <n v="25412615"/>
  </r>
  <r>
    <s v="35-03-00"/>
    <s v="SUPERINTENDENCIA DE INDUSTRIA Y COMERCIO"/>
    <s v="A-03-04-02-015"/>
    <x v="0"/>
    <x v="2"/>
    <s v="04"/>
    <s v="02"/>
    <s v="015"/>
    <m/>
    <m/>
    <m/>
    <m/>
    <s v="Propios"/>
    <x v="0"/>
    <s v="CSF"/>
    <s v="APORTE PREVISION SOCIAL SERVICIOS MEDICOS (NO DE PENSIONES)"/>
    <n v="626000000"/>
    <n v="0"/>
    <n v="0"/>
    <n v="626000000"/>
    <n v="0"/>
    <n v="626000000"/>
    <n v="0"/>
    <n v="567407085"/>
    <n v="567407085"/>
    <n v="567407085"/>
    <n v="567407085"/>
  </r>
  <r>
    <s v="35-03-00"/>
    <s v="SUPERINTENDENCIA DE INDUSTRIA Y COMERCIO"/>
    <s v="A-03-10-01-001"/>
    <x v="0"/>
    <x v="2"/>
    <s v="10"/>
    <s v="01"/>
    <s v="001"/>
    <m/>
    <m/>
    <m/>
    <m/>
    <s v="Propios"/>
    <x v="0"/>
    <s v="CSF"/>
    <s v="SENTENCIAS"/>
    <n v="2060000000"/>
    <n v="0"/>
    <n v="0"/>
    <n v="2060000000"/>
    <n v="0"/>
    <n v="847658568.5"/>
    <n v="1212341431.5"/>
    <n v="764831743.5"/>
    <n v="722449067.5"/>
    <n v="722449067.5"/>
    <n v="722449067.5"/>
  </r>
  <r>
    <s v="35-03-00"/>
    <s v="SUPERINTENDENCIA DE INDUSTRIA Y COMERCIO"/>
    <s v="A-03-10-01-002"/>
    <x v="0"/>
    <x v="2"/>
    <s v="10"/>
    <s v="01"/>
    <s v="002"/>
    <m/>
    <m/>
    <m/>
    <m/>
    <s v="Propios"/>
    <x v="0"/>
    <s v="CSF"/>
    <s v="CONCILIACIONES"/>
    <n v="2060000000"/>
    <n v="0"/>
    <n v="0"/>
    <n v="2060000000"/>
    <n v="0"/>
    <n v="1387214628"/>
    <n v="672785372"/>
    <n v="1328338822"/>
    <n v="1288156825"/>
    <n v="1283214763"/>
    <n v="1263483953"/>
  </r>
  <r>
    <s v="35-03-00"/>
    <s v="SUPERINTENDENCIA DE INDUSTRIA Y COMERCIO"/>
    <s v="A-08-01"/>
    <x v="0"/>
    <x v="3"/>
    <s v="01"/>
    <m/>
    <m/>
    <m/>
    <m/>
    <m/>
    <m/>
    <s v="Propios"/>
    <x v="0"/>
    <s v="CSF"/>
    <s v="IMPUESTOS"/>
    <n v="51500000"/>
    <n v="0"/>
    <n v="0"/>
    <n v="51500000"/>
    <n v="0"/>
    <n v="2342000"/>
    <n v="49158000"/>
    <n v="2319000"/>
    <n v="2319000"/>
    <n v="2319000"/>
    <n v="2319000"/>
  </r>
  <r>
    <s v="35-03-00"/>
    <s v="SUPERINTENDENCIA DE INDUSTRIA Y COMERCIO"/>
    <s v="A-08-04-01"/>
    <x v="0"/>
    <x v="3"/>
    <s v="04"/>
    <s v="01"/>
    <m/>
    <m/>
    <m/>
    <m/>
    <m/>
    <s v="Propios"/>
    <x v="0"/>
    <s v="CSF"/>
    <s v="CUOTA DE FISCALIZACIÓN Y AUDITAJE"/>
    <n v="236758000"/>
    <n v="0"/>
    <n v="0"/>
    <n v="236758000"/>
    <n v="0"/>
    <n v="584855.38"/>
    <n v="236173144.62"/>
    <n v="584855.38"/>
    <n v="584855.38"/>
    <n v="584855.38"/>
    <n v="584855.38"/>
  </r>
  <r>
    <s v="35-03-00"/>
    <s v="SUPERINTENDENCIA DE INDUSTRIA Y COMERCIO"/>
    <s v="C-3503-0200-9"/>
    <x v="1"/>
    <x v="4"/>
    <s v="0200"/>
    <s v="9"/>
    <m/>
    <m/>
    <m/>
    <m/>
    <m/>
    <s v="Propios"/>
    <x v="0"/>
    <s v="CSF"/>
    <s v="INCREMENTO DE LA COBERTURA DE LOS SERVICIOS DE LA RED NACIONAL DE PROTECCIÓN AL CONSUMIDOR EN EL TERRITORIO  NACIONAL"/>
    <n v="39427254112"/>
    <n v="0"/>
    <n v="0"/>
    <n v="39427254112"/>
    <n v="2424898603"/>
    <n v="36977225033.800003"/>
    <n v="25130475.199999999"/>
    <n v="36439505111.800003"/>
    <n v="25412302340.91"/>
    <n v="25375197640.91"/>
    <n v="25375197640.91"/>
  </r>
  <r>
    <s v="35-03-00"/>
    <s v="SUPERINTENDENCIA DE INDUSTRIA Y COMERCIO"/>
    <s v="C-3503-0200-10"/>
    <x v="1"/>
    <x v="4"/>
    <s v="0200"/>
    <s v="10"/>
    <m/>
    <m/>
    <m/>
    <m/>
    <m/>
    <s v="Propios"/>
    <x v="0"/>
    <s v="CSF"/>
    <s v="MEJORAMIENTO DEL CONTROL Y VIGILANCIA A LAS CÁMARAS DE COMERCIO Y COMERCIANTES A NIVEL  NACIONAL"/>
    <n v="909785125"/>
    <n v="0"/>
    <n v="0"/>
    <n v="909785125"/>
    <n v="13233128"/>
    <n v="896551997"/>
    <n v="0"/>
    <n v="865951395"/>
    <n v="714377466.82000005"/>
    <n v="714377466.82000005"/>
    <n v="714377466.82000005"/>
  </r>
  <r>
    <s v="35-03-00"/>
    <s v="SUPERINTENDENCIA DE INDUSTRIA Y COMERCIO"/>
    <s v="C-3503-0200-11"/>
    <x v="1"/>
    <x v="4"/>
    <s v="0200"/>
    <s v="11"/>
    <m/>
    <m/>
    <m/>
    <m/>
    <m/>
    <s v="Propios"/>
    <x v="0"/>
    <s v="CSF"/>
    <s v="FORTALECIMIENTO DE LA FUNCIÓN JURISDICCIONAL DE LA SUPERINTENDENCIA DE INDUSTRIA Y COMERCIO A NIVEL  NACIONAL"/>
    <n v="3601793401"/>
    <n v="0"/>
    <n v="0"/>
    <n v="3601793401"/>
    <n v="102369962"/>
    <n v="3495285424"/>
    <n v="4138015"/>
    <n v="3247550082"/>
    <n v="2734700495"/>
    <n v="2734700495"/>
    <n v="2734700495"/>
  </r>
  <r>
    <s v="35-03-00"/>
    <s v="SUPERINTENDENCIA DE INDUSTRIA Y COMERCIO"/>
    <s v="C-3503-0200-12"/>
    <x v="1"/>
    <x v="4"/>
    <s v="0200"/>
    <s v="12"/>
    <m/>
    <m/>
    <m/>
    <m/>
    <m/>
    <s v="Propios"/>
    <x v="0"/>
    <s v="CSF"/>
    <s v="FORTALECIMIENTO DE LA PROTECCIÓN DE DATOS PERSONALES A NIVEL  NACIONAL"/>
    <n v="2591894878"/>
    <n v="0"/>
    <n v="0"/>
    <n v="2591894878"/>
    <n v="46496954"/>
    <n v="2541001192.1300001"/>
    <n v="4396731.87"/>
    <n v="2538615454.1300001"/>
    <n v="2094994317.6800001"/>
    <n v="2094994317.6800001"/>
    <n v="2094994317.6800001"/>
  </r>
  <r>
    <s v="35-03-00"/>
    <s v="SUPERINTENDENCIA DE INDUSTRIA Y COMERCIO"/>
    <s v="C-3503-0200-13"/>
    <x v="1"/>
    <x v="4"/>
    <s v="0200"/>
    <s v="13"/>
    <m/>
    <m/>
    <m/>
    <m/>
    <m/>
    <s v="Propios"/>
    <x v="0"/>
    <s v="CSF"/>
    <s v="FORTALECIMIENTO DEL RÉGIMEN DE PROTECCIÓN DE LA LIBRE COMPETENCIA ECONÓMICA EN LOS MERCADOS A NIVEL  NACIONAL"/>
    <n v="8032499000"/>
    <n v="0"/>
    <n v="0"/>
    <n v="8032499000"/>
    <n v="208538496"/>
    <n v="7823960504"/>
    <n v="0"/>
    <n v="7775656509"/>
    <n v="6260136885.7700005"/>
    <n v="6260136885.7700005"/>
    <n v="6260136885.7700005"/>
  </r>
  <r>
    <s v="35-03-00"/>
    <s v="SUPERINTENDENCIA DE INDUSTRIA Y COMERCIO"/>
    <s v="C-3503-0200-14"/>
    <x v="1"/>
    <x v="4"/>
    <s v="0200"/>
    <s v="14"/>
    <m/>
    <m/>
    <m/>
    <m/>
    <m/>
    <s v="Propios"/>
    <x v="0"/>
    <s v="CSF"/>
    <s v="FORTALECIMIENTO DE LA ATENCIÓN Y PROMOCIÓN DE TRÁMITES Y SERVICIOS EN EL MARCO DEL SISTEMA DE PROPIEDAD INDUSTRIAL A NIVEL  NACIONAL"/>
    <n v="8791562000"/>
    <n v="0"/>
    <n v="0"/>
    <n v="8791562000"/>
    <n v="903497937"/>
    <n v="7875913563"/>
    <n v="12150500"/>
    <n v="7874196438"/>
    <n v="5662509768.7299995"/>
    <n v="5650009768.7299995"/>
    <n v="5650009768.7299995"/>
  </r>
  <r>
    <s v="35-03-00"/>
    <s v="SUPERINTENDENCIA DE INDUSTRIA Y COMERCIO"/>
    <s v="C-3503-0200-15"/>
    <x v="1"/>
    <x v="4"/>
    <s v="0200"/>
    <s v="15"/>
    <m/>
    <m/>
    <m/>
    <m/>
    <m/>
    <s v="Propios"/>
    <x v="0"/>
    <s v="CSF"/>
    <s v="MEJORAMIENTO EN LA EJECUCIÓN DE LAS FUNCIONES ASIGNADAS EN MATERIA DE PROTECCIÓN AL CONSUMIDOR A NIVEL  NACIONAL"/>
    <n v="5305076993"/>
    <n v="3800621579"/>
    <n v="0"/>
    <n v="9105698572"/>
    <n v="594332657"/>
    <n v="8183523057"/>
    <n v="327842858"/>
    <n v="8103815557"/>
    <n v="5317888604.3800001"/>
    <n v="5312795316.3800001"/>
    <n v="5312795316.3800001"/>
  </r>
  <r>
    <s v="35-03-00"/>
    <s v="SUPERINTENDENCIA DE INDUSTRIA Y COMERCIO"/>
    <s v="C-3503-0200-16"/>
    <x v="1"/>
    <x v="4"/>
    <s v="0200"/>
    <s v="16"/>
    <m/>
    <m/>
    <m/>
    <m/>
    <m/>
    <s v="Nación"/>
    <x v="1"/>
    <s v="CSF"/>
    <s v="FORTALECIMIENTO DE LA FUNCIÓN DE INSPECCIÓN, CONTROL Y VIGILANCIA DE LA SUPERINTENDENCIA DE INDUSTRIA Y COMERCIO EN EL MARCO DEL SUBSISTEMA NACIONAL DE CALIDAD, EL RÉGIMEN DE CONTROL DE PRECIOS Y EL SECTOR VALUATORIO A NIVEL  NACIONAL"/>
    <n v="347886828"/>
    <n v="0"/>
    <n v="0"/>
    <n v="347886828"/>
    <n v="2652029"/>
    <n v="345234799"/>
    <n v="0"/>
    <n v="342629975.92000002"/>
    <n v="294419655.36000001"/>
    <n v="293125743.36000001"/>
    <n v="293125743.36000001"/>
  </r>
  <r>
    <s v="35-03-00"/>
    <s v="SUPERINTENDENCIA DE INDUSTRIA Y COMERCIO"/>
    <s v="C-3503-0200-16"/>
    <x v="1"/>
    <x v="4"/>
    <s v="0200"/>
    <s v="16"/>
    <m/>
    <m/>
    <m/>
    <m/>
    <m/>
    <s v="Propios"/>
    <x v="0"/>
    <s v="CSF"/>
    <s v="FORTALECIMIENTO DE LA FUNCIÓN DE INSPECCIÓN, CONTROL Y VIGILANCIA DE LA SUPERINTENDENCIA DE INDUSTRIA Y COMERCIO EN EL MARCO DEL SUBSISTEMA NACIONAL DE CALIDAD, EL RÉGIMEN DE CONTROL DE PRECIOS Y EL SECTOR VALUATORIO A NIVEL  NACIONAL"/>
    <n v="4421453037"/>
    <n v="0"/>
    <n v="0"/>
    <n v="4421453037"/>
    <n v="102000044"/>
    <n v="4316560447"/>
    <n v="2892546"/>
    <n v="4310392137"/>
    <n v="3394686232.1999998"/>
    <n v="3393974798.1999998"/>
    <n v="3393974798.1999998"/>
  </r>
  <r>
    <s v="35-03-00"/>
    <s v="SUPERINTENDENCIA DE INDUSTRIA Y COMERCIO"/>
    <s v="C-3599-0200-4"/>
    <x v="1"/>
    <x v="5"/>
    <s v="0200"/>
    <s v="4"/>
    <m/>
    <m/>
    <m/>
    <m/>
    <m/>
    <s v="Propios"/>
    <x v="0"/>
    <s v="CSF"/>
    <s v="IMPLEMENTACIÓN DE UNA SOLUCIÓN INMOBILIARIA PARA LA SUPERINTENDENCIA DE INDUSTRIA Y COMERCIO EN  BOGOTÁ"/>
    <n v="319795653"/>
    <n v="0"/>
    <n v="319795653"/>
    <n v="0"/>
    <n v="0"/>
    <n v="0"/>
    <n v="0"/>
    <n v="0"/>
    <n v="0"/>
    <n v="0"/>
    <n v="0"/>
  </r>
  <r>
    <s v="35-03-00"/>
    <s v="SUPERINTENDENCIA DE INDUSTRIA Y COMERCIO"/>
    <s v="C-3599-0200-4"/>
    <x v="1"/>
    <x v="5"/>
    <s v="0200"/>
    <s v="4"/>
    <m/>
    <m/>
    <m/>
    <m/>
    <m/>
    <s v="Propios"/>
    <x v="2"/>
    <s v="CSF"/>
    <s v="IMPLEMENTACIÓN DE UNA SOLUCIÓN INMOBILIARIA PARA LA SUPERINTENDENCIA DE INDUSTRIA Y COMERCIO EN  BOGOTÁ"/>
    <n v="29942724538"/>
    <n v="0"/>
    <n v="29942724538"/>
    <n v="0"/>
    <n v="0"/>
    <n v="0"/>
    <n v="0"/>
    <n v="0"/>
    <n v="0"/>
    <n v="0"/>
    <n v="0"/>
  </r>
  <r>
    <s v="35-03-00"/>
    <s v="SUPERINTENDENCIA DE INDUSTRIA Y COMERCIO"/>
    <s v="C-3599-0200-5"/>
    <x v="1"/>
    <x v="5"/>
    <s v="0200"/>
    <s v="5"/>
    <m/>
    <m/>
    <m/>
    <m/>
    <m/>
    <s v="Propios"/>
    <x v="0"/>
    <s v="CSF"/>
    <s v="FORTALECIMIENTO DEL SISTEMA DE ATENCIÓN AL CIUDADANO DE LA SUPERINTENDENCIA DE INDUSTRIA Y COMERCIO A NIVEL  NACIONAL"/>
    <n v="4949859998"/>
    <n v="0"/>
    <n v="0"/>
    <n v="4949859998"/>
    <n v="165654289"/>
    <n v="4783456709"/>
    <n v="749000"/>
    <n v="4780517770"/>
    <n v="3296616785.29"/>
    <n v="3296616785.29"/>
    <n v="3296616785.29"/>
  </r>
  <r>
    <s v="35-03-00"/>
    <s v="SUPERINTENDENCIA DE INDUSTRIA Y COMERCIO"/>
    <s v="C-3599-0200-5"/>
    <x v="1"/>
    <x v="5"/>
    <s v="0200"/>
    <s v="5"/>
    <m/>
    <m/>
    <m/>
    <m/>
    <m/>
    <s v="Propios"/>
    <x v="2"/>
    <s v="CSF"/>
    <s v="FORTALECIMIENTO DEL SISTEMA DE ATENCIÓN AL CIUDADANO DE LA SUPERINTENDENCIA DE INDUSTRIA Y COMERCIO A NIVEL  NACIONAL"/>
    <n v="23100846801"/>
    <n v="0"/>
    <n v="0"/>
    <n v="23100846801"/>
    <n v="963829402"/>
    <n v="21913281937.080002"/>
    <n v="223735461.91999999"/>
    <n v="21738883347.080002"/>
    <n v="13029798688.709999"/>
    <n v="12884477320.709999"/>
    <n v="12884477320.709999"/>
  </r>
  <r>
    <s v="35-03-00"/>
    <s v="SUPERINTENDENCIA DE INDUSTRIA Y COMERCIO"/>
    <s v="C-3599-0200-6"/>
    <x v="1"/>
    <x v="5"/>
    <s v="0200"/>
    <s v="6"/>
    <m/>
    <m/>
    <m/>
    <m/>
    <m/>
    <s v="Propios"/>
    <x v="0"/>
    <s v="CSF"/>
    <s v="MEJORAMIENTO DE LOS SISTEMAS DE INFORMACIÓN Y SERVICIOS TECNOLÓGICOS DE LA SUPERINTENDENCIA DE INDUSTRIA Y COMERCIO EN EL TERRITORIO  NACIONAL"/>
    <n v="25661863246"/>
    <n v="0"/>
    <n v="0"/>
    <n v="25661863246"/>
    <n v="607432366"/>
    <n v="24469562983.310001"/>
    <n v="584867896.69000006"/>
    <n v="23216318606.150002"/>
    <n v="15968639626.27"/>
    <n v="15968639626.27"/>
    <n v="15968639626.27"/>
  </r>
  <r>
    <s v="35-03-00"/>
    <s v="SUPERINTENDENCIA DE INDUSTRIA Y COMERCIO"/>
    <s v="C-3599-0200-7"/>
    <x v="1"/>
    <x v="5"/>
    <s v="0200"/>
    <s v="7"/>
    <m/>
    <m/>
    <m/>
    <m/>
    <m/>
    <s v="Propios"/>
    <x v="2"/>
    <s v="CSF"/>
    <s v="MEJORAMIENTO DE LA INFRAESTRUCTURA FÍSICA DE LA SEDE DE LA SUPERINTENDENCIA DE INDUSTRIA Y COMERCIO EN  BOGOTÁ"/>
    <n v="773529015"/>
    <n v="0"/>
    <n v="0"/>
    <n v="773529015"/>
    <n v="187465496"/>
    <n v="586063519"/>
    <n v="0"/>
    <n v="586063519"/>
    <n v="320540608.85000002"/>
    <n v="320540608.85000002"/>
    <n v="320540608.85000002"/>
  </r>
</pivotCacheRecords>
</file>

<file path=xl/pivotCache/pivotCacheRecords2.xml><?xml version="1.0" encoding="utf-8"?>
<pivotCacheRecords xmlns="http://schemas.openxmlformats.org/spreadsheetml/2006/main" xmlns:r="http://schemas.openxmlformats.org/officeDocument/2006/relationships" count="35">
  <r>
    <s v="35-03-00"/>
    <s v="SUPERINTENDENCIA DE INDUSTRIA Y COMERCIO"/>
    <s v="A-01-01-01"/>
    <x v="0"/>
    <x v="0"/>
    <s v="01"/>
    <s v="01"/>
    <m/>
    <m/>
    <m/>
    <m/>
    <m/>
    <s v="Propios"/>
    <s v="20"/>
    <s v="CSF"/>
    <x v="0"/>
    <n v="40628002000"/>
    <n v="1507434000"/>
    <n v="7200000000"/>
    <n v="34935436000"/>
    <n v="0"/>
    <n v="34935436000"/>
    <n v="0"/>
    <n v="29453696464"/>
    <n v="29147718774"/>
    <n v="29147718774"/>
    <n v="29147718774"/>
  </r>
  <r>
    <s v="35-03-00"/>
    <s v="SUPERINTENDENCIA DE INDUSTRIA Y COMERCIO"/>
    <s v="A-01-01-02"/>
    <x v="0"/>
    <x v="0"/>
    <s v="01"/>
    <s v="02"/>
    <m/>
    <m/>
    <m/>
    <m/>
    <m/>
    <s v="Propios"/>
    <s v="20"/>
    <s v="CSF"/>
    <x v="1"/>
    <n v="13022354000"/>
    <n v="205850000"/>
    <n v="0"/>
    <n v="13228204000"/>
    <n v="0"/>
    <n v="13022354000"/>
    <n v="205850000"/>
    <n v="10700267874"/>
    <n v="10700267872"/>
    <n v="10700267872"/>
    <n v="10700267872"/>
  </r>
  <r>
    <s v="35-03-00"/>
    <s v="SUPERINTENDENCIA DE INDUSTRIA Y COMERCIO"/>
    <s v="A-01-01-03"/>
    <x v="0"/>
    <x v="0"/>
    <s v="01"/>
    <s v="03"/>
    <m/>
    <m/>
    <m/>
    <m/>
    <m/>
    <s v="Propios"/>
    <s v="20"/>
    <s v="CSF"/>
    <x v="2"/>
    <n v="3243609000"/>
    <n v="7200000000"/>
    <n v="0"/>
    <n v="10443609000"/>
    <n v="0"/>
    <n v="10443609000"/>
    <n v="0"/>
    <n v="7065207939"/>
    <n v="7019636925"/>
    <n v="7019636925"/>
    <n v="7019636925"/>
  </r>
  <r>
    <s v="35-03-00"/>
    <s v="SUPERINTENDENCIA DE INDUSTRIA Y COMERCIO"/>
    <s v="A-01-01-04"/>
    <x v="0"/>
    <x v="0"/>
    <s v="01"/>
    <s v="04"/>
    <m/>
    <m/>
    <m/>
    <m/>
    <m/>
    <s v="Propios"/>
    <s v="20"/>
    <s v="CSF"/>
    <x v="3"/>
    <n v="1870031000"/>
    <n v="0"/>
    <n v="1713284000"/>
    <n v="156747000"/>
    <n v="156747000"/>
    <n v="0"/>
    <n v="0"/>
    <n v="0"/>
    <n v="0"/>
    <n v="0"/>
    <n v="0"/>
  </r>
  <r>
    <s v="35-03-00"/>
    <s v="SUPERINTENDENCIA DE INDUSTRIA Y COMERCIO"/>
    <s v="A-01-02-02"/>
    <x v="0"/>
    <x v="0"/>
    <s v="02"/>
    <s v="02"/>
    <m/>
    <m/>
    <m/>
    <m/>
    <m/>
    <s v="Propios"/>
    <s v="20"/>
    <s v="CSF"/>
    <x v="4"/>
    <n v="0"/>
    <n v="205850000"/>
    <n v="205850000"/>
    <n v="0"/>
    <n v="0"/>
    <n v="0"/>
    <n v="0"/>
    <n v="0"/>
    <n v="0"/>
    <n v="0"/>
    <n v="0"/>
  </r>
  <r>
    <s v="35-03-00"/>
    <s v="SUPERINTENDENCIA DE INDUSTRIA Y COMERCIO"/>
    <s v="A-02-01"/>
    <x v="0"/>
    <x v="1"/>
    <s v="01"/>
    <m/>
    <m/>
    <m/>
    <m/>
    <m/>
    <m/>
    <s v="Propios"/>
    <s v="20"/>
    <s v="CSF"/>
    <x v="5"/>
    <n v="10000000"/>
    <n v="0"/>
    <n v="0"/>
    <n v="10000000"/>
    <n v="0"/>
    <n v="8237399"/>
    <n v="1762601"/>
    <n v="7781279"/>
    <n v="7758134"/>
    <n v="7758134"/>
    <n v="7758134"/>
  </r>
  <r>
    <s v="35-03-00"/>
    <s v="SUPERINTENDENCIA DE INDUSTRIA Y COMERCIO"/>
    <s v="A-02-02"/>
    <x v="0"/>
    <x v="1"/>
    <s v="02"/>
    <m/>
    <m/>
    <m/>
    <m/>
    <m/>
    <m/>
    <s v="Propios"/>
    <s v="20"/>
    <s v="CSF"/>
    <x v="6"/>
    <n v="12666328868"/>
    <n v="0"/>
    <n v="0"/>
    <n v="12666328868"/>
    <n v="0"/>
    <n v="12142877293.799999"/>
    <n v="523451574.19999999"/>
    <n v="11937899497.639999"/>
    <n v="9092896945.5100002"/>
    <n v="9087769095.5100002"/>
    <n v="9087769095.5100002"/>
  </r>
  <r>
    <s v="35-03-00"/>
    <s v="SUPERINTENDENCIA DE INDUSTRIA Y COMERCIO"/>
    <s v="A-03-02-02-097"/>
    <x v="0"/>
    <x v="2"/>
    <s v="02"/>
    <s v="02"/>
    <s v="097"/>
    <m/>
    <m/>
    <m/>
    <m/>
    <s v="Propios"/>
    <s v="20"/>
    <s v="CSF"/>
    <x v="7"/>
    <n v="81269000"/>
    <n v="136250000"/>
    <n v="0"/>
    <n v="217519000"/>
    <n v="0"/>
    <n v="217519000"/>
    <n v="0"/>
    <n v="217474561"/>
    <n v="212785459"/>
    <n v="212785459"/>
    <n v="212785459"/>
  </r>
  <r>
    <s v="35-03-00"/>
    <s v="SUPERINTENDENCIA DE INDUSTRIA Y COMERCIO"/>
    <s v="A-03-02-02-105"/>
    <x v="0"/>
    <x v="2"/>
    <s v="02"/>
    <s v="02"/>
    <s v="105"/>
    <m/>
    <m/>
    <m/>
    <m/>
    <s v="Propios"/>
    <s v="20"/>
    <s v="CSF"/>
    <x v="8"/>
    <n v="206493000"/>
    <n v="0"/>
    <n v="121837000"/>
    <n v="84656000"/>
    <n v="0"/>
    <n v="84656000"/>
    <n v="0"/>
    <n v="84479553"/>
    <n v="84479553"/>
    <n v="84479553"/>
    <n v="84479553"/>
  </r>
  <r>
    <s v="35-03-00"/>
    <s v="SUPERINTENDENCIA DE INDUSTRIA Y COMERCIO"/>
    <s v="A-03-03-04-007"/>
    <x v="0"/>
    <x v="2"/>
    <s v="03"/>
    <s v="04"/>
    <s v="007"/>
    <m/>
    <m/>
    <m/>
    <m/>
    <s v="Propios"/>
    <s v="20"/>
    <s v="CSF"/>
    <x v="9"/>
    <n v="1446200000"/>
    <n v="0"/>
    <n v="0"/>
    <n v="1446200000"/>
    <n v="1446200000"/>
    <n v="0"/>
    <n v="0"/>
    <n v="0"/>
    <n v="0"/>
    <n v="0"/>
    <n v="0"/>
  </r>
  <r>
    <s v="35-03-00"/>
    <s v="SUPERINTENDENCIA DE INDUSTRIA Y COMERCIO"/>
    <s v="A-03-04-02-001"/>
    <x v="0"/>
    <x v="2"/>
    <s v="04"/>
    <s v="02"/>
    <s v="001"/>
    <m/>
    <m/>
    <m/>
    <m/>
    <s v="Propios"/>
    <s v="20"/>
    <s v="CSF"/>
    <x v="10"/>
    <n v="418365000"/>
    <n v="0"/>
    <n v="14413000"/>
    <n v="403952000"/>
    <n v="0"/>
    <n v="403952000"/>
    <n v="0"/>
    <n v="359007154.69999999"/>
    <n v="358795648.82999998"/>
    <n v="358795648.82999998"/>
    <n v="358795648.82999998"/>
  </r>
  <r>
    <s v="35-03-00"/>
    <s v="SUPERINTENDENCIA DE INDUSTRIA Y COMERCIO"/>
    <s v="A-03-04-02-012"/>
    <x v="0"/>
    <x v="2"/>
    <s v="04"/>
    <s v="02"/>
    <s v="012"/>
    <m/>
    <m/>
    <m/>
    <m/>
    <s v="Propios"/>
    <s v="20"/>
    <s v="CSF"/>
    <x v="11"/>
    <n v="128770000"/>
    <n v="0"/>
    <n v="0"/>
    <n v="128770000"/>
    <n v="0"/>
    <n v="128770000"/>
    <n v="0"/>
    <n v="25412615"/>
    <n v="25412615"/>
    <n v="25412615"/>
    <n v="25412615"/>
  </r>
  <r>
    <s v="35-03-00"/>
    <s v="SUPERINTENDENCIA DE INDUSTRIA Y COMERCIO"/>
    <s v="A-03-04-02-015"/>
    <x v="0"/>
    <x v="2"/>
    <s v="04"/>
    <s v="02"/>
    <s v="015"/>
    <m/>
    <m/>
    <m/>
    <m/>
    <s v="Propios"/>
    <s v="20"/>
    <s v="CSF"/>
    <x v="12"/>
    <n v="626000000"/>
    <n v="0"/>
    <n v="0"/>
    <n v="626000000"/>
    <n v="0"/>
    <n v="626000000"/>
    <n v="0"/>
    <n v="567407085"/>
    <n v="567407085"/>
    <n v="567407085"/>
    <n v="567407085"/>
  </r>
  <r>
    <s v="35-03-00"/>
    <s v="SUPERINTENDENCIA DE INDUSTRIA Y COMERCIO"/>
    <s v="A-03-10-01-001"/>
    <x v="0"/>
    <x v="2"/>
    <s v="10"/>
    <s v="01"/>
    <s v="001"/>
    <m/>
    <m/>
    <m/>
    <m/>
    <s v="Propios"/>
    <s v="20"/>
    <s v="CSF"/>
    <x v="13"/>
    <n v="2060000000"/>
    <n v="0"/>
    <n v="0"/>
    <n v="2060000000"/>
    <n v="0"/>
    <n v="847658568.5"/>
    <n v="1212341431.5"/>
    <n v="764831743.5"/>
    <n v="722449067.5"/>
    <n v="722449067.5"/>
    <n v="722449067.5"/>
  </r>
  <r>
    <s v="35-03-00"/>
    <s v="SUPERINTENDENCIA DE INDUSTRIA Y COMERCIO"/>
    <s v="A-03-10-01-002"/>
    <x v="0"/>
    <x v="2"/>
    <s v="10"/>
    <s v="01"/>
    <s v="002"/>
    <m/>
    <m/>
    <m/>
    <m/>
    <s v="Propios"/>
    <s v="20"/>
    <s v="CSF"/>
    <x v="14"/>
    <n v="2060000000"/>
    <n v="0"/>
    <n v="0"/>
    <n v="2060000000"/>
    <n v="0"/>
    <n v="1387214628"/>
    <n v="672785372"/>
    <n v="1328338822"/>
    <n v="1288156825"/>
    <n v="1283214763"/>
    <n v="1263483953"/>
  </r>
  <r>
    <s v="35-03-00"/>
    <s v="SUPERINTENDENCIA DE INDUSTRIA Y COMERCIO"/>
    <s v="A-08-01"/>
    <x v="0"/>
    <x v="3"/>
    <s v="01"/>
    <m/>
    <m/>
    <m/>
    <m/>
    <m/>
    <m/>
    <s v="Propios"/>
    <s v="20"/>
    <s v="CSF"/>
    <x v="15"/>
    <n v="51500000"/>
    <n v="0"/>
    <n v="0"/>
    <n v="51500000"/>
    <n v="0"/>
    <n v="2342000"/>
    <n v="49158000"/>
    <n v="2319000"/>
    <n v="2319000"/>
    <n v="2319000"/>
    <n v="2319000"/>
  </r>
  <r>
    <s v="35-03-00"/>
    <s v="SUPERINTENDENCIA DE INDUSTRIA Y COMERCIO"/>
    <s v="A-08-04-01"/>
    <x v="0"/>
    <x v="3"/>
    <s v="04"/>
    <s v="01"/>
    <m/>
    <m/>
    <m/>
    <m/>
    <m/>
    <s v="Propios"/>
    <s v="20"/>
    <s v="CSF"/>
    <x v="16"/>
    <n v="236758000"/>
    <n v="0"/>
    <n v="0"/>
    <n v="236758000"/>
    <n v="0"/>
    <n v="584855.38"/>
    <n v="236173144.62"/>
    <n v="584855.38"/>
    <n v="584855.38"/>
    <n v="584855.38"/>
    <n v="584855.38"/>
  </r>
  <r>
    <s v="35-03-00"/>
    <s v="SUPERINTENDENCIA DE INDUSTRIA Y COMERCIO"/>
    <s v="C-3503-0200-9"/>
    <x v="1"/>
    <x v="4"/>
    <s v="0200"/>
    <s v="9"/>
    <m/>
    <m/>
    <m/>
    <m/>
    <m/>
    <s v="Propios"/>
    <s v="20"/>
    <s v="CSF"/>
    <x v="17"/>
    <n v="39427254112"/>
    <n v="0"/>
    <n v="0"/>
    <n v="39427254112"/>
    <n v="2424898603"/>
    <n v="36977225033.800003"/>
    <n v="25130475.199999999"/>
    <n v="36439505111.800003"/>
    <n v="25412302340.91"/>
    <n v="25375197640.91"/>
    <n v="25375197640.91"/>
  </r>
  <r>
    <s v="35-03-00"/>
    <s v="SUPERINTENDENCIA DE INDUSTRIA Y COMERCIO"/>
    <s v="C-3503-0200-10"/>
    <x v="1"/>
    <x v="4"/>
    <s v="0200"/>
    <s v="10"/>
    <m/>
    <m/>
    <m/>
    <m/>
    <m/>
    <s v="Propios"/>
    <s v="20"/>
    <s v="CSF"/>
    <x v="18"/>
    <n v="909785125"/>
    <n v="0"/>
    <n v="0"/>
    <n v="909785125"/>
    <n v="13233128"/>
    <n v="896551997"/>
    <n v="0"/>
    <n v="865951395"/>
    <n v="714377466.82000005"/>
    <n v="714377466.82000005"/>
    <n v="714377466.82000005"/>
  </r>
  <r>
    <s v="35-03-00"/>
    <s v="SUPERINTENDENCIA DE INDUSTRIA Y COMERCIO"/>
    <s v="C-3503-0200-11"/>
    <x v="1"/>
    <x v="4"/>
    <s v="0200"/>
    <s v="11"/>
    <m/>
    <m/>
    <m/>
    <m/>
    <m/>
    <s v="Propios"/>
    <s v="20"/>
    <s v="CSF"/>
    <x v="19"/>
    <n v="3601793401"/>
    <n v="0"/>
    <n v="0"/>
    <n v="3601793401"/>
    <n v="102369962"/>
    <n v="3495285424"/>
    <n v="4138015"/>
    <n v="3247550082"/>
    <n v="2734700495"/>
    <n v="2734700495"/>
    <n v="2734700495"/>
  </r>
  <r>
    <s v="35-03-00"/>
    <s v="SUPERINTENDENCIA DE INDUSTRIA Y COMERCIO"/>
    <s v="C-3503-0200-12"/>
    <x v="1"/>
    <x v="4"/>
    <s v="0200"/>
    <s v="12"/>
    <m/>
    <m/>
    <m/>
    <m/>
    <m/>
    <s v="Propios"/>
    <s v="20"/>
    <s v="CSF"/>
    <x v="20"/>
    <n v="2591894878"/>
    <n v="0"/>
    <n v="0"/>
    <n v="2591894878"/>
    <n v="46496954"/>
    <n v="2541001192.1300001"/>
    <n v="4396731.87"/>
    <n v="2538615454.1300001"/>
    <n v="2094994317.6800001"/>
    <n v="2094994317.6800001"/>
    <n v="2094994317.6800001"/>
  </r>
  <r>
    <s v="35-03-00"/>
    <s v="SUPERINTENDENCIA DE INDUSTRIA Y COMERCIO"/>
    <s v="C-3503-0200-13"/>
    <x v="1"/>
    <x v="4"/>
    <s v="0200"/>
    <s v="13"/>
    <m/>
    <m/>
    <m/>
    <m/>
    <m/>
    <s v="Propios"/>
    <s v="20"/>
    <s v="CSF"/>
    <x v="21"/>
    <n v="8032499000"/>
    <n v="0"/>
    <n v="0"/>
    <n v="8032499000"/>
    <n v="208538496"/>
    <n v="7823960504"/>
    <n v="0"/>
    <n v="7775656509"/>
    <n v="6260136885.7700005"/>
    <n v="6260136885.7700005"/>
    <n v="6260136885.7700005"/>
  </r>
  <r>
    <s v="35-03-00"/>
    <s v="SUPERINTENDENCIA DE INDUSTRIA Y COMERCIO"/>
    <s v="C-3503-0200-14"/>
    <x v="1"/>
    <x v="4"/>
    <s v="0200"/>
    <s v="14"/>
    <m/>
    <m/>
    <m/>
    <m/>
    <m/>
    <s v="Propios"/>
    <s v="20"/>
    <s v="CSF"/>
    <x v="22"/>
    <n v="8791562000"/>
    <n v="0"/>
    <n v="0"/>
    <n v="8791562000"/>
    <n v="903497937"/>
    <n v="7875913563"/>
    <n v="12150500"/>
    <n v="7874196438"/>
    <n v="5662509768.7299995"/>
    <n v="5650009768.7299995"/>
    <n v="5650009768.7299995"/>
  </r>
  <r>
    <s v="35-03-00"/>
    <s v="SUPERINTENDENCIA DE INDUSTRIA Y COMERCIO"/>
    <s v="C-3503-0200-15"/>
    <x v="1"/>
    <x v="4"/>
    <s v="0200"/>
    <s v="15"/>
    <m/>
    <m/>
    <m/>
    <m/>
    <m/>
    <s v="Propios"/>
    <s v="20"/>
    <s v="CSF"/>
    <x v="23"/>
    <n v="5305076993"/>
    <n v="3800621579"/>
    <n v="0"/>
    <n v="9105698572"/>
    <n v="594332657"/>
    <n v="8183523057"/>
    <n v="327842858"/>
    <n v="8103815557"/>
    <n v="5317888604.3800001"/>
    <n v="5312795316.3800001"/>
    <n v="5312795316.3800001"/>
  </r>
  <r>
    <s v="35-03-00"/>
    <s v="SUPERINTENDENCIA DE INDUSTRIA Y COMERCIO"/>
    <s v="C-3503-0200-16"/>
    <x v="1"/>
    <x v="4"/>
    <s v="0200"/>
    <s v="16"/>
    <m/>
    <m/>
    <m/>
    <m/>
    <m/>
    <s v="Nación"/>
    <s v="11"/>
    <s v="CSF"/>
    <x v="24"/>
    <n v="347886828"/>
    <n v="0"/>
    <n v="0"/>
    <n v="347886828"/>
    <n v="2652029"/>
    <n v="345234799"/>
    <n v="0"/>
    <n v="342629975.92000002"/>
    <n v="294419655.36000001"/>
    <n v="293125743.36000001"/>
    <n v="293125743.36000001"/>
  </r>
  <r>
    <s v="35-03-00"/>
    <s v="SUPERINTENDENCIA DE INDUSTRIA Y COMERCIO"/>
    <s v="C-3503-0200-16"/>
    <x v="1"/>
    <x v="4"/>
    <s v="0200"/>
    <s v="16"/>
    <m/>
    <m/>
    <m/>
    <m/>
    <m/>
    <s v="Propios"/>
    <s v="20"/>
    <s v="CSF"/>
    <x v="24"/>
    <n v="4421453037"/>
    <n v="0"/>
    <n v="0"/>
    <n v="4421453037"/>
    <n v="102000044"/>
    <n v="4316560447"/>
    <n v="2892546"/>
    <n v="4310392137"/>
    <n v="3394686232.1999998"/>
    <n v="3393974798.1999998"/>
    <n v="3393974798.1999998"/>
  </r>
  <r>
    <s v="35-03-00"/>
    <s v="SUPERINTENDENCIA DE INDUSTRIA Y COMERCIO"/>
    <s v="C-3599-0200-4"/>
    <x v="1"/>
    <x v="5"/>
    <s v="0200"/>
    <s v="4"/>
    <m/>
    <m/>
    <m/>
    <m/>
    <m/>
    <s v="Propios"/>
    <s v="20"/>
    <s v="CSF"/>
    <x v="25"/>
    <n v="319795653"/>
    <n v="0"/>
    <n v="319795653"/>
    <n v="0"/>
    <n v="0"/>
    <n v="0"/>
    <n v="0"/>
    <n v="0"/>
    <n v="0"/>
    <n v="0"/>
    <n v="0"/>
  </r>
  <r>
    <s v="35-03-00"/>
    <s v="SUPERINTENDENCIA DE INDUSTRIA Y COMERCIO"/>
    <s v="C-3599-0200-4"/>
    <x v="1"/>
    <x v="5"/>
    <s v="0200"/>
    <s v="4"/>
    <m/>
    <m/>
    <m/>
    <m/>
    <m/>
    <s v="Propios"/>
    <s v="21"/>
    <s v="CSF"/>
    <x v="25"/>
    <n v="29942724538"/>
    <n v="0"/>
    <n v="29942724538"/>
    <n v="0"/>
    <n v="0"/>
    <n v="0"/>
    <n v="0"/>
    <n v="0"/>
    <n v="0"/>
    <n v="0"/>
    <n v="0"/>
  </r>
  <r>
    <s v="35-03-00"/>
    <s v="SUPERINTENDENCIA DE INDUSTRIA Y COMERCIO"/>
    <s v="C-3599-0200-5"/>
    <x v="1"/>
    <x v="5"/>
    <s v="0200"/>
    <s v="5"/>
    <m/>
    <m/>
    <m/>
    <m/>
    <m/>
    <s v="Propios"/>
    <s v="20"/>
    <s v="CSF"/>
    <x v="26"/>
    <n v="4949859998"/>
    <n v="0"/>
    <n v="0"/>
    <n v="4949859998"/>
    <n v="165654289"/>
    <n v="4783456709"/>
    <n v="749000"/>
    <n v="4780517770"/>
    <n v="3296616785.29"/>
    <n v="3296616785.29"/>
    <n v="3296616785.29"/>
  </r>
  <r>
    <s v="35-03-00"/>
    <s v="SUPERINTENDENCIA DE INDUSTRIA Y COMERCIO"/>
    <s v="C-3599-0200-5"/>
    <x v="1"/>
    <x v="5"/>
    <s v="0200"/>
    <s v="5"/>
    <m/>
    <m/>
    <m/>
    <m/>
    <m/>
    <s v="Propios"/>
    <s v="21"/>
    <s v="CSF"/>
    <x v="26"/>
    <n v="23100846801"/>
    <n v="0"/>
    <n v="0"/>
    <n v="23100846801"/>
    <n v="963829402"/>
    <n v="21913281937.080002"/>
    <n v="223735461.91999999"/>
    <n v="21738883347.080002"/>
    <n v="13029798688.709999"/>
    <n v="12884477320.709999"/>
    <n v="12884477320.709999"/>
  </r>
  <r>
    <s v="35-03-00"/>
    <s v="SUPERINTENDENCIA DE INDUSTRIA Y COMERCIO"/>
    <s v="C-3599-0200-6"/>
    <x v="1"/>
    <x v="5"/>
    <s v="0200"/>
    <s v="6"/>
    <m/>
    <m/>
    <m/>
    <m/>
    <m/>
    <s v="Propios"/>
    <s v="20"/>
    <s v="CSF"/>
    <x v="27"/>
    <n v="25661863246"/>
    <n v="0"/>
    <n v="0"/>
    <n v="25661863246"/>
    <n v="607432366"/>
    <n v="24469562983.310001"/>
    <n v="584867896.69000006"/>
    <n v="23216318606.150002"/>
    <n v="15968639626.27"/>
    <n v="15968639626.27"/>
    <n v="15968639626.27"/>
  </r>
  <r>
    <s v="35-03-00"/>
    <s v="SUPERINTENDENCIA DE INDUSTRIA Y COMERCIO"/>
    <s v="C-3599-0200-7"/>
    <x v="1"/>
    <x v="5"/>
    <s v="0200"/>
    <s v="7"/>
    <m/>
    <m/>
    <m/>
    <m/>
    <m/>
    <s v="Propios"/>
    <s v="21"/>
    <s v="CSF"/>
    <x v="28"/>
    <n v="773529015"/>
    <n v="0"/>
    <n v="0"/>
    <n v="773529015"/>
    <n v="187465496"/>
    <n v="586063519"/>
    <n v="0"/>
    <n v="586063519"/>
    <n v="320540608.85000002"/>
    <n v="320540608.85000002"/>
    <n v="320540608.85000002"/>
  </r>
  <r>
    <s v="35-03-00"/>
    <s v="SUPERINTENDENCIA DE INDUSTRIA Y COMERCIO"/>
    <s v="C-3599-0200-8"/>
    <x v="1"/>
    <x v="5"/>
    <s v="0200"/>
    <s v="8"/>
    <m/>
    <m/>
    <m/>
    <m/>
    <m/>
    <s v="Propios"/>
    <s v="21"/>
    <s v="CSF"/>
    <x v="29"/>
    <n v="3358394125"/>
    <n v="0"/>
    <n v="0"/>
    <n v="3358394125"/>
    <n v="437897624"/>
    <n v="2916417502"/>
    <n v="4078999"/>
    <n v="2896427533"/>
    <n v="2187972549"/>
    <n v="2187972549"/>
    <n v="2187972549"/>
  </r>
  <r>
    <s v="35-03-00"/>
    <s v="SUPERINTENDENCIA DE INDUSTRIA Y COMERCIO"/>
    <s v="C-3599-0200-9"/>
    <x v="1"/>
    <x v="5"/>
    <s v="0200"/>
    <s v="9"/>
    <s v=""/>
    <s v=""/>
    <s v=""/>
    <s v=""/>
    <s v=""/>
    <s v="Propios"/>
    <s v="20"/>
    <s v="CSF"/>
    <x v="30"/>
    <n v="0"/>
    <n v="319795653"/>
    <n v="0"/>
    <n v="319795653"/>
    <n v="319795653"/>
    <n v="0"/>
    <n v="0"/>
    <n v="0"/>
    <n v="0"/>
    <n v="0"/>
    <n v="0"/>
  </r>
  <r>
    <s v="35-03-00"/>
    <s v="SUPERINTENDENCIA DE INDUSTRIA Y COMERCIO"/>
    <s v="C-3599-0200-9"/>
    <x v="1"/>
    <x v="5"/>
    <s v="0200"/>
    <s v="9"/>
    <s v=""/>
    <s v=""/>
    <s v=""/>
    <s v=""/>
    <s v=""/>
    <s v="Propios"/>
    <s v="21"/>
    <s v="CSF"/>
    <x v="30"/>
    <n v="0"/>
    <n v="29942724538"/>
    <n v="0"/>
    <n v="29942724538"/>
    <n v="29942724538"/>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 dinámica2"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M14" firstHeaderRow="1" firstDataRow="3" firstDataCol="1"/>
  <pivotFields count="27">
    <pivotField showAll="0"/>
    <pivotField showAll="0"/>
    <pivotField showAll="0"/>
    <pivotField axis="axisRow" showAll="0">
      <items count="3">
        <item x="0"/>
        <item x="1"/>
        <item t="default"/>
      </items>
    </pivotField>
    <pivotField axis="axisRow" showAll="0">
      <items count="7">
        <item x="4"/>
        <item x="5"/>
        <item x="0"/>
        <item x="1"/>
        <item x="2"/>
        <item x="3"/>
        <item t="default"/>
      </items>
    </pivotField>
    <pivotField showAll="0"/>
    <pivotField showAll="0"/>
    <pivotField showAll="0"/>
    <pivotField showAll="0"/>
    <pivotField showAll="0"/>
    <pivotField showAll="0"/>
    <pivotField showAll="0" defaultSubtotal="0"/>
    <pivotField showAll="0"/>
    <pivotField axis="axisCol" showAll="0">
      <items count="4">
        <item x="0"/>
        <item x="2"/>
        <item x="1"/>
        <item t="default"/>
      </items>
    </pivotField>
    <pivotField showAll="0"/>
    <pivotField showAll="0"/>
    <pivotField numFmtId="166" showAll="0"/>
    <pivotField numFmtId="166" showAll="0"/>
    <pivotField numFmtId="166" showAll="0"/>
    <pivotField dataField="1" numFmtId="166" showAll="0"/>
    <pivotField numFmtId="166" showAll="0"/>
    <pivotField numFmtId="166" showAll="0"/>
    <pivotField numFmtId="166" showAll="0"/>
    <pivotField dataField="1" numFmtId="166" showAll="0"/>
    <pivotField dataField="1" numFmtId="166" showAll="0"/>
    <pivotField numFmtId="166" showAll="0"/>
    <pivotField showAll="0" defaultSubtotal="0"/>
  </pivotFields>
  <rowFields count="2">
    <field x="3"/>
    <field x="4"/>
  </rowFields>
  <rowItems count="9">
    <i>
      <x/>
    </i>
    <i r="1">
      <x v="2"/>
    </i>
    <i r="1">
      <x v="3"/>
    </i>
    <i r="1">
      <x v="4"/>
    </i>
    <i r="1">
      <x v="5"/>
    </i>
    <i>
      <x v="1"/>
    </i>
    <i r="1">
      <x/>
    </i>
    <i r="1">
      <x v="1"/>
    </i>
    <i t="grand">
      <x/>
    </i>
  </rowItems>
  <colFields count="2">
    <field x="13"/>
    <field x="-2"/>
  </colFields>
  <colItems count="12">
    <i>
      <x/>
      <x/>
    </i>
    <i r="1" i="1">
      <x v="1"/>
    </i>
    <i r="1" i="2">
      <x v="2"/>
    </i>
    <i>
      <x v="1"/>
      <x/>
    </i>
    <i r="1" i="1">
      <x v="1"/>
    </i>
    <i r="1" i="2">
      <x v="2"/>
    </i>
    <i>
      <x v="2"/>
      <x/>
    </i>
    <i r="1" i="1">
      <x v="1"/>
    </i>
    <i r="1" i="2">
      <x v="2"/>
    </i>
    <i t="grand">
      <x/>
    </i>
    <i t="grand" i="1">
      <x/>
    </i>
    <i t="grand" i="2">
      <x/>
    </i>
  </colItems>
  <dataFields count="3">
    <dataField name="Suma de APR. VIGENTE" fld="19" baseField="0" baseItem="0"/>
    <dataField name="Suma de COMPROMISO" fld="23" baseField="0" baseItem="0"/>
    <dataField name="Suma de OBLIGACION" fld="24" baseField="0" baseItem="0"/>
  </dataFields>
  <formats count="28">
    <format dxfId="36">
      <pivotArea field="3" type="button" dataOnly="0" labelOnly="1" outline="0" axis="axisRow" fieldPosition="0"/>
    </format>
    <format dxfId="35">
      <pivotArea dataOnly="0" labelOnly="1" fieldPosition="0">
        <references count="1">
          <reference field="3" count="0"/>
        </references>
      </pivotArea>
    </format>
    <format dxfId="34">
      <pivotArea dataOnly="0" labelOnly="1" grandRow="1" outline="0" fieldPosition="0"/>
    </format>
    <format dxfId="33">
      <pivotArea dataOnly="0" labelOnly="1" fieldPosition="0">
        <references count="2">
          <reference field="3" count="1" selected="0">
            <x v="0"/>
          </reference>
          <reference field="4" count="0"/>
        </references>
      </pivotArea>
    </format>
    <format dxfId="32">
      <pivotArea field="3" type="button" dataOnly="0" labelOnly="1" outline="0" axis="axisRow" fieldPosition="0"/>
    </format>
    <format dxfId="31">
      <pivotArea dataOnly="0" labelOnly="1" fieldPosition="0">
        <references count="1">
          <reference field="3" count="0"/>
        </references>
      </pivotArea>
    </format>
    <format dxfId="30">
      <pivotArea dataOnly="0" labelOnly="1" grandRow="1" outline="0" fieldPosition="0"/>
    </format>
    <format dxfId="29">
      <pivotArea dataOnly="0" labelOnly="1" fieldPosition="0">
        <references count="2">
          <reference field="3" count="1" selected="0">
            <x v="0"/>
          </reference>
          <reference field="4" count="0"/>
        </references>
      </pivotArea>
    </format>
    <format dxfId="28">
      <pivotArea outline="0" collapsedLevelsAreSubtotals="1" fieldPosition="0"/>
    </format>
    <format dxfId="27">
      <pivotArea dataOnly="0" labelOnly="1" fieldPosition="0">
        <references count="1">
          <reference field="13" count="0"/>
        </references>
      </pivotArea>
    </format>
    <format dxfId="26">
      <pivotArea field="13" dataOnly="0" labelOnly="1" grandCol="1" outline="0" axis="axisCol" fieldPosition="0">
        <references count="1">
          <reference field="4294967294" count="1" selected="0">
            <x v="0"/>
          </reference>
        </references>
      </pivotArea>
    </format>
    <format dxfId="25">
      <pivotArea field="13" dataOnly="0" labelOnly="1" grandCol="1" outline="0" axis="axisCol" fieldPosition="0">
        <references count="1">
          <reference field="4294967294" count="1" selected="0">
            <x v="1"/>
          </reference>
        </references>
      </pivotArea>
    </format>
    <format dxfId="24">
      <pivotArea field="13" dataOnly="0" labelOnly="1" grandCol="1" outline="0" axis="axisCol" fieldPosition="0">
        <references count="1">
          <reference field="4294967294" count="1" selected="0">
            <x v="2"/>
          </reference>
        </references>
      </pivotArea>
    </format>
    <format dxfId="23">
      <pivotArea dataOnly="0" labelOnly="1" outline="0" fieldPosition="0">
        <references count="2">
          <reference field="4294967294" count="3">
            <x v="0"/>
            <x v="1"/>
            <x v="2"/>
          </reference>
          <reference field="13" count="1" selected="0">
            <x v="0"/>
          </reference>
        </references>
      </pivotArea>
    </format>
    <format dxfId="22">
      <pivotArea dataOnly="0" labelOnly="1" outline="0" fieldPosition="0">
        <references count="2">
          <reference field="4294967294" count="3">
            <x v="0"/>
            <x v="1"/>
            <x v="2"/>
          </reference>
          <reference field="13" count="1" selected="0">
            <x v="1"/>
          </reference>
        </references>
      </pivotArea>
    </format>
    <format dxfId="21">
      <pivotArea outline="0" collapsedLevelsAreSubtotals="1" fieldPosition="0"/>
    </format>
    <format dxfId="20">
      <pivotArea dataOnly="0" labelOnly="1" fieldPosition="0">
        <references count="1">
          <reference field="13" count="0"/>
        </references>
      </pivotArea>
    </format>
    <format dxfId="19">
      <pivotArea field="13" dataOnly="0" labelOnly="1" grandCol="1" outline="0" axis="axisCol" fieldPosition="0">
        <references count="1">
          <reference field="4294967294" count="1" selected="0">
            <x v="0"/>
          </reference>
        </references>
      </pivotArea>
    </format>
    <format dxfId="18">
      <pivotArea field="13" dataOnly="0" labelOnly="1" grandCol="1" outline="0" axis="axisCol" fieldPosition="0">
        <references count="1">
          <reference field="4294967294" count="1" selected="0">
            <x v="1"/>
          </reference>
        </references>
      </pivotArea>
    </format>
    <format dxfId="17">
      <pivotArea field="13" dataOnly="0" labelOnly="1" grandCol="1" outline="0" axis="axisCol" fieldPosition="0">
        <references count="1">
          <reference field="4294967294" count="1" selected="0">
            <x v="2"/>
          </reference>
        </references>
      </pivotArea>
    </format>
    <format dxfId="16">
      <pivotArea dataOnly="0" labelOnly="1" outline="0" fieldPosition="0">
        <references count="2">
          <reference field="4294967294" count="3">
            <x v="0"/>
            <x v="1"/>
            <x v="2"/>
          </reference>
          <reference field="13" count="1" selected="0">
            <x v="0"/>
          </reference>
        </references>
      </pivotArea>
    </format>
    <format dxfId="15">
      <pivotArea dataOnly="0" labelOnly="1" outline="0" fieldPosition="0">
        <references count="2">
          <reference field="4294967294" count="3">
            <x v="0"/>
            <x v="1"/>
            <x v="2"/>
          </reference>
          <reference field="13" count="1" selected="0">
            <x v="1"/>
          </reference>
        </references>
      </pivotArea>
    </format>
    <format dxfId="14">
      <pivotArea outline="0" collapsedLevelsAreSubtotals="1" fieldPosition="0">
        <references count="2">
          <reference field="4294967294" count="3" selected="0">
            <x v="0"/>
            <x v="1"/>
            <x v="2"/>
          </reference>
          <reference field="13" count="1" selected="0">
            <x v="0"/>
          </reference>
        </references>
      </pivotArea>
    </format>
    <format dxfId="13">
      <pivotArea dataOnly="0" labelOnly="1" fieldPosition="0">
        <references count="1">
          <reference field="13" count="1">
            <x v="0"/>
          </reference>
        </references>
      </pivotArea>
    </format>
    <format dxfId="12">
      <pivotArea dataOnly="0" labelOnly="1" outline="0" fieldPosition="0">
        <references count="2">
          <reference field="4294967294" count="3">
            <x v="0"/>
            <x v="1"/>
            <x v="2"/>
          </reference>
          <reference field="13" count="1" selected="0">
            <x v="0"/>
          </reference>
        </references>
      </pivotArea>
    </format>
    <format dxfId="11">
      <pivotArea outline="0" collapsedLevelsAreSubtotals="1" fieldPosition="0">
        <references count="2">
          <reference field="4294967294" count="3" selected="0">
            <x v="0"/>
            <x v="1"/>
            <x v="2"/>
          </reference>
          <reference field="13" count="1" selected="0">
            <x v="1"/>
          </reference>
        </references>
      </pivotArea>
    </format>
    <format dxfId="10">
      <pivotArea dataOnly="0" labelOnly="1" fieldPosition="0">
        <references count="1">
          <reference field="13" count="1">
            <x v="1"/>
          </reference>
        </references>
      </pivotArea>
    </format>
    <format dxfId="9">
      <pivotArea dataOnly="0" labelOnly="1" outline="0" fieldPosition="0">
        <references count="2">
          <reference field="4294967294" count="3">
            <x v="0"/>
            <x v="1"/>
            <x v="2"/>
          </reference>
          <reference field="13"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2" cacheId="1"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H43" firstHeaderRow="0" firstDataRow="1" firstDataCol="1"/>
  <pivotFields count="27">
    <pivotField showAll="0"/>
    <pivotField showAll="0"/>
    <pivotField showAll="0"/>
    <pivotField axis="axisRow" showAll="0">
      <items count="3">
        <item x="0"/>
        <item x="1"/>
        <item t="default"/>
      </items>
    </pivotField>
    <pivotField axis="axisRow" showAll="0">
      <items count="7">
        <item x="4"/>
        <item x="5"/>
        <item x="0"/>
        <item x="1"/>
        <item x="2"/>
        <item x="3"/>
        <item t="default"/>
      </items>
    </pivotField>
    <pivotField showAll="0"/>
    <pivotField showAll="0"/>
    <pivotField showAll="0"/>
    <pivotField showAll="0"/>
    <pivotField showAll="0"/>
    <pivotField showAll="0"/>
    <pivotField showAll="0" defaultSubtotal="0"/>
    <pivotField showAll="0"/>
    <pivotField showAll="0"/>
    <pivotField showAll="0"/>
    <pivotField axis="axisRow" showAll="0">
      <items count="32">
        <item x="7"/>
        <item x="8"/>
        <item x="25"/>
        <item x="0"/>
        <item x="1"/>
        <item x="2"/>
        <item x="5"/>
        <item x="6"/>
        <item x="9"/>
        <item x="10"/>
        <item x="12"/>
        <item x="13"/>
        <item x="14"/>
        <item x="15"/>
        <item x="16"/>
        <item x="17"/>
        <item x="18"/>
        <item x="19"/>
        <item x="20"/>
        <item x="21"/>
        <item x="22"/>
        <item x="23"/>
        <item x="24"/>
        <item x="26"/>
        <item x="27"/>
        <item x="28"/>
        <item x="29"/>
        <item x="11"/>
        <item x="3"/>
        <item n="IMPLEMENTACIÓN DE UNA SOLUCIÓN INMOBILIARIA PARA LA SUPERINTENDENCIA DE INDUSTRIA Y COMERCIO BOGOTÁ 2" x="30"/>
        <item x="4"/>
        <item t="default"/>
      </items>
    </pivotField>
    <pivotField dataField="1" numFmtId="166" showAll="0"/>
    <pivotField numFmtId="166" showAll="0"/>
    <pivotField numFmtId="166" showAll="0"/>
    <pivotField dataField="1" numFmtId="166" showAll="0"/>
    <pivotField dataField="1" numFmtId="166" showAll="0"/>
    <pivotField dataField="1" numFmtId="166" showAll="0"/>
    <pivotField numFmtId="166" showAll="0"/>
    <pivotField dataField="1" numFmtId="166" showAll="0"/>
    <pivotField dataField="1" numFmtId="166" showAll="0"/>
    <pivotField numFmtId="166" showAll="0"/>
    <pivotField dataField="1" showAll="0" defaultSubtotal="0"/>
  </pivotFields>
  <rowFields count="3">
    <field x="3"/>
    <field x="4"/>
    <field x="15"/>
  </rowFields>
  <rowItems count="40">
    <i>
      <x/>
    </i>
    <i r="1">
      <x v="2"/>
    </i>
    <i r="2">
      <x v="3"/>
    </i>
    <i r="2">
      <x v="4"/>
    </i>
    <i r="2">
      <x v="5"/>
    </i>
    <i r="2">
      <x v="28"/>
    </i>
    <i r="2">
      <x v="30"/>
    </i>
    <i r="1">
      <x v="3"/>
    </i>
    <i r="2">
      <x v="6"/>
    </i>
    <i r="2">
      <x v="7"/>
    </i>
    <i r="1">
      <x v="4"/>
    </i>
    <i r="2">
      <x/>
    </i>
    <i r="2">
      <x v="1"/>
    </i>
    <i r="2">
      <x v="8"/>
    </i>
    <i r="2">
      <x v="9"/>
    </i>
    <i r="2">
      <x v="10"/>
    </i>
    <i r="2">
      <x v="11"/>
    </i>
    <i r="2">
      <x v="12"/>
    </i>
    <i r="2">
      <x v="27"/>
    </i>
    <i r="1">
      <x v="5"/>
    </i>
    <i r="2">
      <x v="13"/>
    </i>
    <i r="2">
      <x v="14"/>
    </i>
    <i>
      <x v="1"/>
    </i>
    <i r="1">
      <x/>
    </i>
    <i r="2">
      <x v="15"/>
    </i>
    <i r="2">
      <x v="16"/>
    </i>
    <i r="2">
      <x v="17"/>
    </i>
    <i r="2">
      <x v="18"/>
    </i>
    <i r="2">
      <x v="19"/>
    </i>
    <i r="2">
      <x v="20"/>
    </i>
    <i r="2">
      <x v="21"/>
    </i>
    <i r="2">
      <x v="22"/>
    </i>
    <i r="1">
      <x v="1"/>
    </i>
    <i r="2">
      <x v="2"/>
    </i>
    <i r="2">
      <x v="23"/>
    </i>
    <i r="2">
      <x v="24"/>
    </i>
    <i r="2">
      <x v="25"/>
    </i>
    <i r="2">
      <x v="26"/>
    </i>
    <i r="2">
      <x v="29"/>
    </i>
    <i t="grand">
      <x/>
    </i>
  </rowItems>
  <colFields count="1">
    <field x="-2"/>
  </colFields>
  <colItems count="7">
    <i>
      <x/>
    </i>
    <i i="1">
      <x v="1"/>
    </i>
    <i i="2">
      <x v="2"/>
    </i>
    <i i="3">
      <x v="3"/>
    </i>
    <i i="4">
      <x v="4"/>
    </i>
    <i i="5">
      <x v="5"/>
    </i>
    <i i="6">
      <x v="6"/>
    </i>
  </colItems>
  <dataFields count="7">
    <dataField name="Suma de APR. INICIAL" fld="16" baseField="0" baseItem="0"/>
    <dataField name="Suma de APR. VIGENTE" fld="19" baseField="0" baseItem="0"/>
    <dataField name="Suma de CDP" fld="21" baseField="0" baseItem="0"/>
    <dataField name="Suma de COMPROMISO" fld="23" baseField="0" baseItem="0"/>
    <dataField name="Suma de OBLIGACION" fld="24" baseField="0" baseItem="0"/>
    <dataField name="Suma de PAGOS" fld="26" baseField="0" baseItem="0"/>
    <dataField name="Suma de APR BLOQUEADA" fld="20" baseField="0" baseItem="0"/>
  </dataFields>
  <formats count="9">
    <format dxfId="8">
      <pivotArea outline="0" collapsedLevelsAreSubtotals="1" fieldPosition="0"/>
    </format>
    <format dxfId="7">
      <pivotArea dataOnly="0" labelOnly="1" outline="0" fieldPosition="0">
        <references count="1">
          <reference field="4294967294" count="5">
            <x v="0"/>
            <x v="1"/>
            <x v="2"/>
            <x v="3"/>
            <x v="4"/>
          </reference>
        </references>
      </pivotArea>
    </format>
    <format dxfId="6">
      <pivotArea field="3" type="button" dataOnly="0" labelOnly="1" outline="0" axis="axisRow" fieldPosition="0"/>
    </format>
    <format dxfId="5">
      <pivotArea dataOnly="0" labelOnly="1" fieldPosition="0">
        <references count="1">
          <reference field="3" count="0"/>
        </references>
      </pivotArea>
    </format>
    <format dxfId="4">
      <pivotArea dataOnly="0" labelOnly="1" grandRow="1" outline="0" fieldPosition="0"/>
    </format>
    <format dxfId="3">
      <pivotArea dataOnly="0" labelOnly="1" fieldPosition="0">
        <references count="2">
          <reference field="3" count="1" selected="0">
            <x v="0"/>
          </reference>
          <reference field="4" count="0"/>
        </references>
      </pivotArea>
    </format>
    <format dxfId="2">
      <pivotArea field="3" type="button" dataOnly="0" labelOnly="1" outline="0" axis="axisRow" fieldPosition="0"/>
    </format>
    <format dxfId="1">
      <pivotArea collapsedLevelsAreSubtotals="1" fieldPosition="0">
        <references count="3">
          <reference field="4294967294" count="1" selected="0">
            <x v="1"/>
          </reference>
          <reference field="3" count="1" selected="0">
            <x v="1"/>
          </reference>
          <reference field="4" count="1">
            <x v="1"/>
          </reference>
        </references>
      </pivotArea>
    </format>
    <format dxfId="0">
      <pivotArea collapsedLevelsAreSubtotals="1" fieldPosition="0">
        <references count="4">
          <reference field="4294967294" count="1" selected="0">
            <x v="1"/>
          </reference>
          <reference field="3" count="1" selected="0">
            <x v="1"/>
          </reference>
          <reference field="4" count="1" selected="0">
            <x v="1"/>
          </reference>
          <reference field="15"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7" tint="-0.249977111117893"/>
  </sheetPr>
  <dimension ref="A1:O47"/>
  <sheetViews>
    <sheetView zoomScale="80" zoomScaleNormal="80" workbookViewId="0">
      <pane xSplit="1" ySplit="7" topLeftCell="B17" activePane="bottomRight" state="frozen"/>
      <selection pane="topRight" activeCell="B1" sqref="B1"/>
      <selection pane="bottomLeft" activeCell="A2" sqref="A2"/>
      <selection pane="bottomRight" activeCell="E18" sqref="E18"/>
    </sheetView>
  </sheetViews>
  <sheetFormatPr baseColWidth="10" defaultRowHeight="15"/>
  <cols>
    <col min="1" max="1" width="45.140625" style="100" customWidth="1"/>
    <col min="2" max="2" width="24.5703125" style="109" bestFit="1" customWidth="1"/>
    <col min="3" max="3" width="23.28515625" style="100" bestFit="1" customWidth="1"/>
    <col min="4" max="4" width="22" style="100" bestFit="1" customWidth="1"/>
    <col min="5" max="5" width="19.5703125" style="100" customWidth="1"/>
    <col min="6" max="6" width="20.5703125" style="111" bestFit="1" customWidth="1"/>
    <col min="7" max="7" width="16.7109375" style="100" bestFit="1" customWidth="1"/>
    <col min="8" max="8" width="23.28515625" style="111" bestFit="1" customWidth="1"/>
    <col min="9" max="9" width="20.5703125" style="111" bestFit="1" customWidth="1"/>
    <col min="10" max="10" width="21.85546875" style="111" customWidth="1"/>
    <col min="11" max="11" width="11.7109375" style="112" bestFit="1" customWidth="1"/>
    <col min="12" max="12" width="23.28515625" style="111" bestFit="1" customWidth="1"/>
    <col min="13" max="13" width="22.42578125" style="112" customWidth="1"/>
    <col min="14" max="14" width="23.28515625" style="111" bestFit="1" customWidth="1"/>
    <col min="15" max="15" width="13.85546875" style="112" customWidth="1"/>
    <col min="16" max="16384" width="11.42578125" style="100"/>
  </cols>
  <sheetData>
    <row r="1" spans="1:15" ht="29.25" customHeight="1">
      <c r="A1" s="96"/>
      <c r="B1" s="97" t="s">
        <v>33</v>
      </c>
      <c r="C1" s="96"/>
      <c r="D1" s="96"/>
      <c r="E1" s="96"/>
      <c r="F1" s="98"/>
      <c r="G1" s="96"/>
      <c r="H1" s="98"/>
      <c r="I1" s="98"/>
      <c r="J1" s="98"/>
      <c r="K1" s="99"/>
      <c r="L1" s="98"/>
      <c r="M1" s="99"/>
      <c r="N1" s="98"/>
      <c r="O1" s="99"/>
    </row>
    <row r="2" spans="1:15">
      <c r="A2" s="96"/>
      <c r="B2" s="96"/>
      <c r="C2" s="96"/>
      <c r="D2" s="96"/>
      <c r="E2" s="96"/>
      <c r="F2" s="98"/>
      <c r="G2" s="96"/>
      <c r="H2" s="98"/>
      <c r="I2" s="98"/>
      <c r="J2" s="98"/>
      <c r="K2" s="99"/>
      <c r="L2" s="98"/>
      <c r="M2" s="99"/>
      <c r="N2" s="98"/>
      <c r="O2" s="99"/>
    </row>
    <row r="3" spans="1:15">
      <c r="A3" s="96"/>
      <c r="B3" s="101" t="s">
        <v>66</v>
      </c>
      <c r="C3" s="96"/>
      <c r="D3" s="96"/>
      <c r="E3" s="96"/>
      <c r="F3" s="98"/>
      <c r="G3" s="96"/>
      <c r="H3" s="98"/>
      <c r="I3" s="98"/>
      <c r="J3" s="98"/>
      <c r="K3" s="99"/>
      <c r="L3" s="98"/>
      <c r="M3" s="99"/>
      <c r="N3" s="98"/>
      <c r="O3" s="99"/>
    </row>
    <row r="4" spans="1:15">
      <c r="A4" s="96"/>
      <c r="B4" s="102" t="str">
        <f>+METAS!D4</f>
        <v>NOVIEMBRE - 2019</v>
      </c>
      <c r="C4" s="96"/>
      <c r="D4" s="96"/>
      <c r="E4" s="96"/>
      <c r="F4" s="98"/>
      <c r="G4" s="96"/>
      <c r="H4" s="98"/>
      <c r="I4" s="98"/>
      <c r="J4" s="98"/>
      <c r="K4" s="99"/>
      <c r="L4" s="98"/>
      <c r="M4" s="99"/>
      <c r="N4" s="98"/>
      <c r="O4" s="99"/>
    </row>
    <row r="5" spans="1:15">
      <c r="A5" s="96"/>
      <c r="B5" s="101" t="s">
        <v>96</v>
      </c>
      <c r="C5" s="96"/>
      <c r="D5" s="96"/>
      <c r="E5" s="96"/>
      <c r="F5" s="98"/>
      <c r="G5" s="96"/>
      <c r="H5" s="98"/>
      <c r="I5" s="98"/>
      <c r="J5" s="98"/>
      <c r="K5" s="99"/>
      <c r="L5" s="98"/>
      <c r="M5" s="99"/>
      <c r="N5" s="98"/>
      <c r="O5" s="99"/>
    </row>
    <row r="6" spans="1:15">
      <c r="A6" s="96"/>
      <c r="B6" s="103"/>
      <c r="C6" s="96"/>
      <c r="D6" s="96"/>
      <c r="E6" s="96"/>
      <c r="F6" s="98"/>
      <c r="G6" s="96"/>
      <c r="H6" s="98"/>
      <c r="I6" s="98"/>
      <c r="J6" s="98"/>
      <c r="K6" s="99"/>
      <c r="L6" s="98"/>
      <c r="M6" s="99"/>
      <c r="N6" s="98"/>
      <c r="O6" s="99"/>
    </row>
    <row r="7" spans="1:15" ht="45">
      <c r="A7" s="205" t="s">
        <v>68</v>
      </c>
      <c r="B7" s="206" t="s">
        <v>97</v>
      </c>
      <c r="C7" s="206" t="s">
        <v>98</v>
      </c>
      <c r="D7" s="206" t="s">
        <v>99</v>
      </c>
      <c r="E7" s="207" t="s">
        <v>100</v>
      </c>
      <c r="F7" s="206" t="s">
        <v>101</v>
      </c>
      <c r="G7" s="208" t="s">
        <v>102</v>
      </c>
      <c r="H7" s="206" t="s">
        <v>26</v>
      </c>
      <c r="I7" s="206" t="s">
        <v>103</v>
      </c>
      <c r="J7" s="209" t="s">
        <v>77</v>
      </c>
      <c r="K7" s="210" t="s">
        <v>104</v>
      </c>
      <c r="L7" s="209" t="s">
        <v>105</v>
      </c>
      <c r="M7" s="210" t="s">
        <v>106</v>
      </c>
      <c r="N7" s="209" t="s">
        <v>107</v>
      </c>
      <c r="O7" s="210" t="s">
        <v>108</v>
      </c>
    </row>
    <row r="8" spans="1:15" s="104" customFormat="1" ht="15.75">
      <c r="A8" s="211" t="s">
        <v>83</v>
      </c>
      <c r="B8" s="212">
        <f>B9+B14+B17</f>
        <v>78755679868</v>
      </c>
      <c r="C8" s="212">
        <f>C9+C14+C17</f>
        <v>78755679868</v>
      </c>
      <c r="D8" s="212">
        <f>D9+D14+D17</f>
        <v>62514708443.220001</v>
      </c>
      <c r="E8" s="213">
        <f t="shared" ref="E8:E9" si="0">+D8/C8</f>
        <v>0.79378031588323539</v>
      </c>
      <c r="F8" s="212">
        <f>F9+F14+F17</f>
        <v>59230668759.220001</v>
      </c>
      <c r="G8" s="213">
        <f t="shared" ref="G8:G9" si="1">+F8/C8</f>
        <v>0.75208123221708867</v>
      </c>
      <c r="H8" s="212">
        <f>H9+H14+H17</f>
        <v>74251210744.680008</v>
      </c>
      <c r="I8" s="212">
        <f>I9+I14+I17</f>
        <v>59200868037.220001</v>
      </c>
      <c r="J8" s="212">
        <f>J9+J14+J17</f>
        <v>4504469123.3200006</v>
      </c>
      <c r="K8" s="213">
        <f t="shared" ref="K8:K9" si="2">+J8/C8</f>
        <v>5.7195482673374216E-2</v>
      </c>
      <c r="L8" s="212">
        <f>L9+L14+L17</f>
        <v>16240971424.780001</v>
      </c>
      <c r="M8" s="213">
        <f t="shared" ref="M8:M9" si="3">+L8/C8</f>
        <v>0.20621968411676464</v>
      </c>
      <c r="N8" s="212">
        <f>N9+N14+N17</f>
        <v>19525011108.779999</v>
      </c>
      <c r="O8" s="213">
        <f t="shared" ref="O8:O9" si="4">+N8/C8</f>
        <v>0.24791876778291136</v>
      </c>
    </row>
    <row r="9" spans="1:15" s="104" customFormat="1" ht="15.75">
      <c r="A9" s="214" t="s">
        <v>84</v>
      </c>
      <c r="B9" s="215">
        <f>SUM(B10:B13)</f>
        <v>58763996000</v>
      </c>
      <c r="C9" s="215">
        <f>SUM(C10:C13)</f>
        <v>58763996000</v>
      </c>
      <c r="D9" s="215">
        <f>SUM(D10:D13)</f>
        <v>47219172277</v>
      </c>
      <c r="E9" s="216">
        <f t="shared" si="0"/>
        <v>0.80353916498462763</v>
      </c>
      <c r="F9" s="215">
        <f>SUM(F10:F13)</f>
        <v>46867623571</v>
      </c>
      <c r="G9" s="216">
        <f t="shared" si="1"/>
        <v>0.79755678240465466</v>
      </c>
      <c r="H9" s="215">
        <f>SUM(H10:H13)</f>
        <v>58401399000</v>
      </c>
      <c r="I9" s="215">
        <f>SUM(I10:I13)</f>
        <v>46867623571</v>
      </c>
      <c r="J9" s="215">
        <f>SUM(J10:J13)</f>
        <v>362597000</v>
      </c>
      <c r="K9" s="216">
        <f t="shared" si="2"/>
        <v>6.1703938581712517E-3</v>
      </c>
      <c r="L9" s="215">
        <f>SUM(L10:L13)</f>
        <v>11544823723</v>
      </c>
      <c r="M9" s="216">
        <f t="shared" si="3"/>
        <v>0.19646083501537234</v>
      </c>
      <c r="N9" s="215">
        <f>SUM(N10:N13)</f>
        <v>11896372429</v>
      </c>
      <c r="O9" s="216">
        <f t="shared" si="4"/>
        <v>0.20244321759534528</v>
      </c>
    </row>
    <row r="10" spans="1:15">
      <c r="A10" s="217" t="str">
        <f>+'[1]TD-EPA'!A6</f>
        <v>SALARIO</v>
      </c>
      <c r="B10" s="218">
        <f>VLOOKUP(A10,'TD-EPA'!$A$5:$H$36,2,0)</f>
        <v>40628002000</v>
      </c>
      <c r="C10" s="219">
        <f>VLOOKUP(A10,'TD-EPA'!$A$5:$H$36,3,0)</f>
        <v>34935436000</v>
      </c>
      <c r="D10" s="219">
        <f>VLOOKUP(A10,'TD-EPA'!$A$5:$H$36,5,0)</f>
        <v>29453696464</v>
      </c>
      <c r="E10" s="220">
        <f>+D10/C10</f>
        <v>0.84308941969408946</v>
      </c>
      <c r="F10" s="218">
        <f>VLOOKUP(A10,'TD-EPA'!$A$5:$H$36,6,0)</f>
        <v>29147718774</v>
      </c>
      <c r="G10" s="220">
        <f>+F10/C10</f>
        <v>0.83433104352841048</v>
      </c>
      <c r="H10" s="218">
        <f>VLOOKUP(A10,'TD-EPA'!$A$5:$H$36,4,0)</f>
        <v>34935436000</v>
      </c>
      <c r="I10" s="218">
        <f>VLOOKUP(A10,'TD-EPA'!$A$5:$H$36,7,0)</f>
        <v>29147718774</v>
      </c>
      <c r="J10" s="218">
        <f>+C10-H10</f>
        <v>0</v>
      </c>
      <c r="K10" s="220">
        <f>+J10/C10</f>
        <v>0</v>
      </c>
      <c r="L10" s="218">
        <f>+C10-D10</f>
        <v>5481739536</v>
      </c>
      <c r="M10" s="220">
        <f>+L10/C10</f>
        <v>0.1569105803059106</v>
      </c>
      <c r="N10" s="218">
        <f>+C10-F10</f>
        <v>5787717226</v>
      </c>
      <c r="O10" s="220">
        <f>+N10/C10</f>
        <v>0.16566895647158947</v>
      </c>
    </row>
    <row r="11" spans="1:15" ht="28.5">
      <c r="A11" s="217" t="str">
        <f>+'[1]TD-EPA'!A7</f>
        <v>CONTRIBUCIONES INHERENTES A LA NÓMINA</v>
      </c>
      <c r="B11" s="218">
        <f>VLOOKUP(A11,'TD-EPA'!$A$5:$H$36,2,0)</f>
        <v>13022354000</v>
      </c>
      <c r="C11" s="219">
        <f>VLOOKUP(A11,'TD-EPA'!$A$5:$H$36,3,0)</f>
        <v>13228204000</v>
      </c>
      <c r="D11" s="219">
        <f>VLOOKUP(A11,'TD-EPA'!$A$5:$H$36,5,0)</f>
        <v>10700267874</v>
      </c>
      <c r="E11" s="220">
        <f t="shared" ref="E11:E43" si="5">D11/C11</f>
        <v>0.80889800867903161</v>
      </c>
      <c r="F11" s="218">
        <f>VLOOKUP(A11,'TD-EPA'!$A$5:$H$36,6,0)</f>
        <v>10700267872</v>
      </c>
      <c r="G11" s="220">
        <f t="shared" ref="G11:G43" si="6">+F11/C11</f>
        <v>0.80889800852783944</v>
      </c>
      <c r="H11" s="218">
        <f>VLOOKUP(A11,'TD-EPA'!$A$5:$H$36,4,0)</f>
        <v>13022354000</v>
      </c>
      <c r="I11" s="218">
        <f>VLOOKUP(A11,'TD-EPA'!$A$5:$H$36,7,0)</f>
        <v>10700267872</v>
      </c>
      <c r="J11" s="218">
        <f t="shared" ref="J11:J39" si="7">+C11-H11</f>
        <v>205850000</v>
      </c>
      <c r="K11" s="220">
        <f t="shared" ref="K11:K43" si="8">+J11/C11</f>
        <v>1.556144734387223E-2</v>
      </c>
      <c r="L11" s="218">
        <f t="shared" ref="L11:L39" si="9">+C11-D11</f>
        <v>2527936126</v>
      </c>
      <c r="M11" s="220">
        <f>+L11/C11</f>
        <v>0.19110199132096845</v>
      </c>
      <c r="N11" s="218">
        <f t="shared" ref="N11:N39" si="10">+C11-F11</f>
        <v>2527936128</v>
      </c>
      <c r="O11" s="220">
        <f t="shared" ref="O11:O43" si="11">+N11/C11</f>
        <v>0.19110199147216053</v>
      </c>
    </row>
    <row r="12" spans="1:15" ht="28.5">
      <c r="A12" s="217" t="str">
        <f>+'[1]TD-EPA'!A8</f>
        <v>REMUNERACIONES NO CONSTITUTIVAS DE FACTOR SALARIAL</v>
      </c>
      <c r="B12" s="218">
        <f>VLOOKUP(A12,'TD-EPA'!$A$5:$H$36,2,0)</f>
        <v>3243609000</v>
      </c>
      <c r="C12" s="219">
        <f>VLOOKUP(A12,'TD-EPA'!$A$5:$H$36,3,0)</f>
        <v>10443609000</v>
      </c>
      <c r="D12" s="219">
        <f>VLOOKUP(A12,'TD-EPA'!$A$5:$H$36,5,0)</f>
        <v>7065207939</v>
      </c>
      <c r="E12" s="220">
        <f t="shared" si="5"/>
        <v>0.67651019288447123</v>
      </c>
      <c r="F12" s="218">
        <f>VLOOKUP(A12,'TD-EPA'!$A$5:$H$36,6,0)</f>
        <v>7019636925</v>
      </c>
      <c r="G12" s="220">
        <f t="shared" si="6"/>
        <v>0.67214666165690429</v>
      </c>
      <c r="H12" s="218">
        <f>VLOOKUP(A12,'TD-EPA'!$A$5:$H$36,4,0)</f>
        <v>10443609000</v>
      </c>
      <c r="I12" s="218">
        <f>VLOOKUP(A12,'TD-EPA'!$A$5:$H$36,7,0)</f>
        <v>7019636925</v>
      </c>
      <c r="J12" s="218">
        <f t="shared" si="7"/>
        <v>0</v>
      </c>
      <c r="K12" s="220">
        <f t="shared" si="8"/>
        <v>0</v>
      </c>
      <c r="L12" s="218">
        <f t="shared" si="9"/>
        <v>3378401061</v>
      </c>
      <c r="M12" s="220">
        <f t="shared" ref="M12:M43" si="12">+L12/C12</f>
        <v>0.32348980711552872</v>
      </c>
      <c r="N12" s="218">
        <f t="shared" si="10"/>
        <v>3423972075</v>
      </c>
      <c r="O12" s="220">
        <f t="shared" si="11"/>
        <v>0.32785333834309577</v>
      </c>
    </row>
    <row r="13" spans="1:15" ht="42.75">
      <c r="A13" s="217" t="str">
        <f>+'[1]TD-EPA'!A9</f>
        <v>OTROS GASTOS DE PERSONAL - DISTRIBUCIÓN PREVIO CONCEPTO DGPPN</v>
      </c>
      <c r="B13" s="218">
        <f>VLOOKUP(A13,'TD-EPA'!$A$5:$H$36,2,0)</f>
        <v>1870031000</v>
      </c>
      <c r="C13" s="219">
        <f>VLOOKUP(A13,'TD-EPA'!$A$5:$H$36,3,0)</f>
        <v>156747000</v>
      </c>
      <c r="D13" s="219">
        <f>VLOOKUP(A13,'TD-EPA'!$A$5:$H$36,5,0)</f>
        <v>0</v>
      </c>
      <c r="E13" s="220">
        <f t="shared" si="5"/>
        <v>0</v>
      </c>
      <c r="F13" s="218">
        <f>VLOOKUP(A13,'TD-EPA'!$A$5:$H$36,6,0)</f>
        <v>0</v>
      </c>
      <c r="G13" s="220">
        <f t="shared" si="6"/>
        <v>0</v>
      </c>
      <c r="H13" s="218">
        <f>VLOOKUP(A13,'TD-EPA'!$A$5:$H$36,4,0)</f>
        <v>0</v>
      </c>
      <c r="I13" s="218">
        <f>VLOOKUP(A13,'TD-EPA'!$A$5:$H$36,7,0)</f>
        <v>0</v>
      </c>
      <c r="J13" s="218">
        <f t="shared" si="7"/>
        <v>156747000</v>
      </c>
      <c r="K13" s="220">
        <f t="shared" si="8"/>
        <v>1</v>
      </c>
      <c r="L13" s="218">
        <f t="shared" si="9"/>
        <v>156747000</v>
      </c>
      <c r="M13" s="220">
        <f t="shared" si="12"/>
        <v>1</v>
      </c>
      <c r="N13" s="218">
        <f t="shared" si="10"/>
        <v>156747000</v>
      </c>
      <c r="O13" s="220">
        <f t="shared" si="11"/>
        <v>1</v>
      </c>
    </row>
    <row r="14" spans="1:15" s="104" customFormat="1" ht="15" customHeight="1">
      <c r="A14" s="214" t="s">
        <v>85</v>
      </c>
      <c r="B14" s="215">
        <f>SUM(B15:B16)</f>
        <v>12676328868</v>
      </c>
      <c r="C14" s="215">
        <f>SUM(C15:C16)</f>
        <v>12676328868</v>
      </c>
      <c r="D14" s="215">
        <f>SUM(D15:D16)</f>
        <v>11945680776.639999</v>
      </c>
      <c r="E14" s="216">
        <f t="shared" si="5"/>
        <v>0.94236122311370119</v>
      </c>
      <c r="F14" s="215">
        <f t="shared" ref="F14" si="13">SUM(F15:F16)</f>
        <v>9100655079.5100002</v>
      </c>
      <c r="G14" s="216">
        <f t="shared" si="6"/>
        <v>0.7179251322899648</v>
      </c>
      <c r="H14" s="215">
        <f t="shared" ref="H14:N14" si="14">SUM(H15:H16)</f>
        <v>12151114692.799999</v>
      </c>
      <c r="I14" s="215">
        <f t="shared" si="14"/>
        <v>9095527229.5100002</v>
      </c>
      <c r="J14" s="215">
        <f t="shared" si="14"/>
        <v>525214175.20000076</v>
      </c>
      <c r="K14" s="216">
        <f t="shared" si="8"/>
        <v>4.1432671924901403E-2</v>
      </c>
      <c r="L14" s="215">
        <f t="shared" si="14"/>
        <v>730648091.36000061</v>
      </c>
      <c r="M14" s="216">
        <f t="shared" si="12"/>
        <v>5.7638776886298801E-2</v>
      </c>
      <c r="N14" s="215">
        <f t="shared" si="14"/>
        <v>3575673788.4899998</v>
      </c>
      <c r="O14" s="216">
        <f t="shared" si="11"/>
        <v>0.28207486771003515</v>
      </c>
    </row>
    <row r="15" spans="1:15" ht="28.5">
      <c r="A15" s="217" t="str">
        <f>+'[1]TD-EPA'!A11</f>
        <v>ADQUISICIÓN DE ACTIVOS NO FINANCIEROS</v>
      </c>
      <c r="B15" s="218">
        <f>VLOOKUP(A15,'TD-EPA'!$A$5:$H$36,2,0)</f>
        <v>10000000</v>
      </c>
      <c r="C15" s="219">
        <f>VLOOKUP(A15,'TD-EPA'!$A$5:$H$36,3,0)</f>
        <v>10000000</v>
      </c>
      <c r="D15" s="219">
        <f>VLOOKUP(A15,'TD-EPA'!$A$5:$H$36,5,0)</f>
        <v>7781279</v>
      </c>
      <c r="E15" s="220">
        <f t="shared" si="5"/>
        <v>0.77812789999999998</v>
      </c>
      <c r="F15" s="218">
        <f>VLOOKUP(A15,'TD-EPA'!$A$5:$H$36,6,0)</f>
        <v>7758134</v>
      </c>
      <c r="G15" s="220">
        <f t="shared" si="6"/>
        <v>0.77581339999999999</v>
      </c>
      <c r="H15" s="218">
        <f>VLOOKUP(A15,'TD-EPA'!$A$5:$H$36,4,0)</f>
        <v>8237399</v>
      </c>
      <c r="I15" s="218">
        <f>VLOOKUP(A15,'TD-EPA'!$A$5:$H$36,7,0)</f>
        <v>7758134</v>
      </c>
      <c r="J15" s="218">
        <f t="shared" si="7"/>
        <v>1762601</v>
      </c>
      <c r="K15" s="220">
        <f t="shared" si="8"/>
        <v>0.1762601</v>
      </c>
      <c r="L15" s="218">
        <f t="shared" si="9"/>
        <v>2218721</v>
      </c>
      <c r="M15" s="220">
        <f t="shared" si="12"/>
        <v>0.22187209999999999</v>
      </c>
      <c r="N15" s="218">
        <f t="shared" si="10"/>
        <v>2241866</v>
      </c>
      <c r="O15" s="220">
        <f t="shared" si="11"/>
        <v>0.22418660000000001</v>
      </c>
    </row>
    <row r="16" spans="1:15" ht="28.5">
      <c r="A16" s="217" t="str">
        <f>+'[1]TD-EPA'!A12</f>
        <v>ADQUISICIONES DIFERENTES DE ACTIVOS</v>
      </c>
      <c r="B16" s="218">
        <f>VLOOKUP(A16,'TD-EPA'!$A$5:$H$36,2,0)</f>
        <v>12666328868</v>
      </c>
      <c r="C16" s="219">
        <f>VLOOKUP(A16,'TD-EPA'!$A$5:$H$36,3,0)</f>
        <v>12666328868</v>
      </c>
      <c r="D16" s="219">
        <f>VLOOKUP(A16,'TD-EPA'!$A$5:$H$36,5,0)</f>
        <v>11937899497.639999</v>
      </c>
      <c r="E16" s="220">
        <f t="shared" si="5"/>
        <v>0.9424908844582196</v>
      </c>
      <c r="F16" s="218">
        <f>VLOOKUP(A16,'TD-EPA'!$A$5:$H$36,6,0)</f>
        <v>9092896945.5100002</v>
      </c>
      <c r="G16" s="220">
        <f>+F16/C16</f>
        <v>0.71787942980717501</v>
      </c>
      <c r="H16" s="218">
        <f>VLOOKUP(A16,'TD-EPA'!$A$5:$H$36,4,0)</f>
        <v>12142877293.799999</v>
      </c>
      <c r="I16" s="218">
        <f>VLOOKUP(A16,'TD-EPA'!$A$5:$H$36,7,0)</f>
        <v>9087769095.5100002</v>
      </c>
      <c r="J16" s="218">
        <f t="shared" si="7"/>
        <v>523451574.20000076</v>
      </c>
      <c r="K16" s="220">
        <f t="shared" si="8"/>
        <v>4.1326226379802912E-2</v>
      </c>
      <c r="L16" s="218">
        <f t="shared" si="9"/>
        <v>728429370.36000061</v>
      </c>
      <c r="M16" s="220">
        <f t="shared" si="12"/>
        <v>5.7509115541780405E-2</v>
      </c>
      <c r="N16" s="218">
        <f t="shared" si="10"/>
        <v>3573431922.4899998</v>
      </c>
      <c r="O16" s="220">
        <f t="shared" si="11"/>
        <v>0.28212057019282499</v>
      </c>
    </row>
    <row r="17" spans="1:15" s="104" customFormat="1" ht="15.75">
      <c r="A17" s="214" t="s">
        <v>86</v>
      </c>
      <c r="B17" s="215">
        <f>SUM(B18:B27)</f>
        <v>7315355000</v>
      </c>
      <c r="C17" s="215">
        <f>SUM(C18:C27)</f>
        <v>7315355000</v>
      </c>
      <c r="D17" s="215">
        <f>SUM(D18:D27)</f>
        <v>3349855389.5799999</v>
      </c>
      <c r="E17" s="216">
        <f>D17/C17</f>
        <v>0.45792109741495796</v>
      </c>
      <c r="F17" s="215">
        <f>SUM(F18:F27)</f>
        <v>3262390108.71</v>
      </c>
      <c r="G17" s="216">
        <f>+F17/C17</f>
        <v>0.44596470146834982</v>
      </c>
      <c r="H17" s="215">
        <f>SUM(H18:H27)</f>
        <v>3698697051.8800001</v>
      </c>
      <c r="I17" s="215">
        <f>SUM(I18:I27)</f>
        <v>3237717236.71</v>
      </c>
      <c r="J17" s="215">
        <f>SUM(J18:J27)</f>
        <v>3616657948.1199999</v>
      </c>
      <c r="K17" s="216">
        <f t="shared" si="8"/>
        <v>0.49439267788371172</v>
      </c>
      <c r="L17" s="215">
        <f>SUM(L18:L27)</f>
        <v>3965499610.4200001</v>
      </c>
      <c r="M17" s="216">
        <f t="shared" si="12"/>
        <v>0.54207890258504199</v>
      </c>
      <c r="N17" s="215">
        <f>SUM(N18:N27)</f>
        <v>4052964891.29</v>
      </c>
      <c r="O17" s="216">
        <f>+N17/C17</f>
        <v>0.55403529853165023</v>
      </c>
    </row>
    <row r="18" spans="1:15" ht="42.75">
      <c r="A18" s="217" t="str">
        <f>+'[1]TD-EPA'!A14</f>
        <v>CONVENCION DEL METRO - OFICINA INTERNACIONAL DE PESAS Y MEDIDAS - BIPM. LEY 1512 DE 2012</v>
      </c>
      <c r="B18" s="218">
        <f>VLOOKUP(A18,'TD-EPA'!$A$5:$H$36,2,0)</f>
        <v>81269000</v>
      </c>
      <c r="C18" s="219">
        <f>VLOOKUP(A18,'TD-EPA'!$A$5:$H$36,3,0)</f>
        <v>217519000</v>
      </c>
      <c r="D18" s="219">
        <f>VLOOKUP(A18,'TD-EPA'!$A$5:$H$36,5,0)</f>
        <v>217474561</v>
      </c>
      <c r="E18" s="220">
        <f t="shared" si="5"/>
        <v>0.9997957006054643</v>
      </c>
      <c r="F18" s="218">
        <f>VLOOKUP(A18,'TD-EPA'!$A$5:$H$36,6,0)</f>
        <v>212785459</v>
      </c>
      <c r="G18" s="220">
        <f t="shared" si="6"/>
        <v>0.97823849410856067</v>
      </c>
      <c r="H18" s="218">
        <f>VLOOKUP(A18,'TD-EPA'!$A$5:$H$36,4,0)</f>
        <v>217519000</v>
      </c>
      <c r="I18" s="218">
        <f>VLOOKUP(A18,'TD-EPA'!$A$5:$H$36,7,0)</f>
        <v>212785459</v>
      </c>
      <c r="J18" s="218">
        <f t="shared" si="7"/>
        <v>0</v>
      </c>
      <c r="K18" s="220">
        <f t="shared" si="8"/>
        <v>0</v>
      </c>
      <c r="L18" s="218">
        <f t="shared" si="9"/>
        <v>44439</v>
      </c>
      <c r="M18" s="220">
        <f t="shared" si="12"/>
        <v>2.0429939453564977E-4</v>
      </c>
      <c r="N18" s="218">
        <f t="shared" si="10"/>
        <v>4733541</v>
      </c>
      <c r="O18" s="220">
        <f t="shared" si="11"/>
        <v>2.1761505891439367E-2</v>
      </c>
    </row>
    <row r="19" spans="1:15" ht="42.75">
      <c r="A19" s="217" t="str">
        <f>+'[1]TD-EPA'!A15</f>
        <v>ORGANIZACION PARA LA COOPERACION Y EL DESARROLLO ECONOMICO OCDE-ARTICULO 47 LEY 1450 DE 2011</v>
      </c>
      <c r="B19" s="218">
        <f>VLOOKUP(A19,'TD-EPA'!$A$5:$H$36,2,0)</f>
        <v>206493000</v>
      </c>
      <c r="C19" s="219">
        <f>VLOOKUP(A19,'TD-EPA'!$A$5:$H$36,3,0)</f>
        <v>84656000</v>
      </c>
      <c r="D19" s="219">
        <f>VLOOKUP(A19,'TD-EPA'!$A$5:$H$36,5,0)</f>
        <v>84479553</v>
      </c>
      <c r="E19" s="220">
        <f t="shared" si="5"/>
        <v>0.99791571772821774</v>
      </c>
      <c r="F19" s="218">
        <f>VLOOKUP(A19,'TD-EPA'!$A$5:$H$36,6,0)</f>
        <v>84479553</v>
      </c>
      <c r="G19" s="220">
        <f t="shared" si="6"/>
        <v>0.99791571772821774</v>
      </c>
      <c r="H19" s="218">
        <f>VLOOKUP(A19,'TD-EPA'!$A$5:$H$36,4,0)</f>
        <v>84656000</v>
      </c>
      <c r="I19" s="218">
        <f>VLOOKUP(A19,'TD-EPA'!$A$5:$H$36,7,0)</f>
        <v>84479553</v>
      </c>
      <c r="J19" s="218">
        <f t="shared" si="7"/>
        <v>0</v>
      </c>
      <c r="K19" s="220">
        <f t="shared" si="8"/>
        <v>0</v>
      </c>
      <c r="L19" s="218">
        <f t="shared" si="9"/>
        <v>176447</v>
      </c>
      <c r="M19" s="220">
        <f t="shared" si="12"/>
        <v>2.0842822717822718E-3</v>
      </c>
      <c r="N19" s="218">
        <f t="shared" si="10"/>
        <v>176447</v>
      </c>
      <c r="O19" s="220">
        <f t="shared" si="11"/>
        <v>2.0842822717822718E-3</v>
      </c>
    </row>
    <row r="20" spans="1:15" ht="57">
      <c r="A20" s="217" t="str">
        <f>+'[1]TD-EPA'!A16</f>
        <v>PROVISIÓN PARA GASTOS INSTITUCIONALES Y/O SECTORIALES CONTINGENTES- PREVIO CONCEPTO DGPPN</v>
      </c>
      <c r="B20" s="218">
        <f>VLOOKUP(A20,'TD-EPA'!$A$5:$H$36,2,0)</f>
        <v>1446200000</v>
      </c>
      <c r="C20" s="219">
        <f>VLOOKUP(A20,'TD-EPA'!$A$5:$H$36,3,0)</f>
        <v>1446200000</v>
      </c>
      <c r="D20" s="219">
        <f>VLOOKUP(A20,'TD-EPA'!$A$5:$H$36,5,0)</f>
        <v>0</v>
      </c>
      <c r="E20" s="220">
        <f t="shared" si="5"/>
        <v>0</v>
      </c>
      <c r="F20" s="218">
        <f>VLOOKUP(A20,'TD-EPA'!$A$5:$H$36,6,0)</f>
        <v>0</v>
      </c>
      <c r="G20" s="220">
        <f t="shared" si="6"/>
        <v>0</v>
      </c>
      <c r="H20" s="218">
        <f>VLOOKUP(A20,'TD-EPA'!$A$5:$H$36,4,0)</f>
        <v>0</v>
      </c>
      <c r="I20" s="218">
        <f>VLOOKUP(A20,'TD-EPA'!$A$5:$H$36,7,0)</f>
        <v>0</v>
      </c>
      <c r="J20" s="218">
        <f t="shared" si="7"/>
        <v>1446200000</v>
      </c>
      <c r="K20" s="220">
        <f t="shared" si="8"/>
        <v>1</v>
      </c>
      <c r="L20" s="218">
        <f t="shared" si="9"/>
        <v>1446200000</v>
      </c>
      <c r="M20" s="220">
        <f t="shared" si="12"/>
        <v>1</v>
      </c>
      <c r="N20" s="218">
        <f t="shared" si="10"/>
        <v>1446200000</v>
      </c>
      <c r="O20" s="220">
        <f t="shared" si="11"/>
        <v>1</v>
      </c>
    </row>
    <row r="21" spans="1:15" ht="28.5" customHeight="1">
      <c r="A21" s="217" t="str">
        <f>+'[1]TD-EPA'!A17</f>
        <v>MESADAS PENSIONALES (DE PENSIONES)</v>
      </c>
      <c r="B21" s="218">
        <f>VLOOKUP(A21,'TD-EPA'!$A$5:$H$36,2,0)</f>
        <v>418365000</v>
      </c>
      <c r="C21" s="219">
        <f>VLOOKUP(A21,'TD-EPA'!$A$5:$H$36,3,0)</f>
        <v>403952000</v>
      </c>
      <c r="D21" s="219">
        <f>VLOOKUP(A21,'TD-EPA'!$A$5:$H$36,5,0)</f>
        <v>359007154.69999999</v>
      </c>
      <c r="E21" s="220">
        <f t="shared" si="5"/>
        <v>0.88873716357388999</v>
      </c>
      <c r="F21" s="218">
        <f>VLOOKUP(A21,'TD-EPA'!$A$5:$H$36,6,0)</f>
        <v>358795648.82999998</v>
      </c>
      <c r="G21" s="220">
        <f t="shared" si="6"/>
        <v>0.88821357198380002</v>
      </c>
      <c r="H21" s="218">
        <f>VLOOKUP(A21,'TD-EPA'!$A$5:$H$36,4,0)</f>
        <v>403952000</v>
      </c>
      <c r="I21" s="218">
        <f>VLOOKUP(A21,'TD-EPA'!$A$5:$H$36,7,0)</f>
        <v>358795648.82999998</v>
      </c>
      <c r="J21" s="218">
        <f t="shared" si="7"/>
        <v>0</v>
      </c>
      <c r="K21" s="220">
        <f t="shared" si="8"/>
        <v>0</v>
      </c>
      <c r="L21" s="218">
        <f t="shared" si="9"/>
        <v>44944845.300000012</v>
      </c>
      <c r="M21" s="220">
        <f t="shared" si="12"/>
        <v>0.11126283642611007</v>
      </c>
      <c r="N21" s="218">
        <f t="shared" si="10"/>
        <v>45156351.170000017</v>
      </c>
      <c r="O21" s="220">
        <f t="shared" si="11"/>
        <v>0.11178642801619998</v>
      </c>
    </row>
    <row r="22" spans="1:15" ht="28.5">
      <c r="A22" s="217" t="str">
        <f>+'[1]TD-EPA'!A18</f>
        <v>APORTE PREVISION SOCIAL SERVICIOS MEDICOS (NO DE PENSIONES)</v>
      </c>
      <c r="B22" s="218">
        <f>VLOOKUP(A22,'TD-EPA'!$A$5:$H$36,2,0)</f>
        <v>626000000</v>
      </c>
      <c r="C22" s="219">
        <f>VLOOKUP(A22,'TD-EPA'!$A$5:$H$36,3,0)</f>
        <v>626000000</v>
      </c>
      <c r="D22" s="219">
        <f>VLOOKUP(A22,'TD-EPA'!$A$5:$H$36,5,0)</f>
        <v>567407085</v>
      </c>
      <c r="E22" s="220">
        <f>D22/C22</f>
        <v>0.90640109424920123</v>
      </c>
      <c r="F22" s="218">
        <f>VLOOKUP(A22,'TD-EPA'!$A$5:$H$36,6,0)</f>
        <v>567407085</v>
      </c>
      <c r="G22" s="220">
        <f t="shared" si="6"/>
        <v>0.90640109424920123</v>
      </c>
      <c r="H22" s="218">
        <f>VLOOKUP(A22,'TD-EPA'!$A$5:$H$36,4,0)</f>
        <v>626000000</v>
      </c>
      <c r="I22" s="218">
        <f>VLOOKUP(A22,'TD-EPA'!$A$5:$H$36,7,0)</f>
        <v>567407085</v>
      </c>
      <c r="J22" s="218">
        <f t="shared" si="7"/>
        <v>0</v>
      </c>
      <c r="K22" s="220">
        <f t="shared" si="8"/>
        <v>0</v>
      </c>
      <c r="L22" s="218">
        <f t="shared" si="9"/>
        <v>58592915</v>
      </c>
      <c r="M22" s="220">
        <f t="shared" si="12"/>
        <v>9.3598905750798725E-2</v>
      </c>
      <c r="N22" s="218">
        <f t="shared" si="10"/>
        <v>58592915</v>
      </c>
      <c r="O22" s="220">
        <f t="shared" si="11"/>
        <v>9.3598905750798725E-2</v>
      </c>
    </row>
    <row r="23" spans="1:15" ht="27" customHeight="1">
      <c r="A23" s="217" t="str">
        <f>+'[1]TD-EPA'!A19</f>
        <v>SENTENCIAS</v>
      </c>
      <c r="B23" s="218">
        <f>VLOOKUP(A23,'TD-EPA'!$A$5:$H$36,2,0)</f>
        <v>2060000000</v>
      </c>
      <c r="C23" s="219">
        <f>VLOOKUP(A23,'TD-EPA'!$A$5:$H$36,3,0)</f>
        <v>2060000000</v>
      </c>
      <c r="D23" s="219">
        <f>VLOOKUP(A23,'TD-EPA'!$A$5:$H$36,5,0)</f>
        <v>764831743.5</v>
      </c>
      <c r="E23" s="220">
        <f t="shared" si="5"/>
        <v>0.37127754538834951</v>
      </c>
      <c r="F23" s="218">
        <f>VLOOKUP(A23,'TD-EPA'!$A$5:$H$36,6,0)</f>
        <v>722449067.5</v>
      </c>
      <c r="G23" s="220">
        <f t="shared" si="6"/>
        <v>0.35070343082524275</v>
      </c>
      <c r="H23" s="218">
        <f>VLOOKUP(A23,'TD-EPA'!$A$5:$H$36,4,0)</f>
        <v>847658568.5</v>
      </c>
      <c r="I23" s="218">
        <f>VLOOKUP(A23,'TD-EPA'!$A$5:$H$36,7,0)</f>
        <v>722449067.5</v>
      </c>
      <c r="J23" s="218">
        <f t="shared" si="7"/>
        <v>1212341431.5</v>
      </c>
      <c r="K23" s="220">
        <f t="shared" si="8"/>
        <v>0.58851525800970872</v>
      </c>
      <c r="L23" s="218">
        <f t="shared" si="9"/>
        <v>1295168256.5</v>
      </c>
      <c r="M23" s="220">
        <f t="shared" si="12"/>
        <v>0.62872245461165044</v>
      </c>
      <c r="N23" s="218">
        <f t="shared" si="10"/>
        <v>1337550932.5</v>
      </c>
      <c r="O23" s="220">
        <f t="shared" si="11"/>
        <v>0.64929656917475731</v>
      </c>
    </row>
    <row r="24" spans="1:15">
      <c r="A24" s="217" t="str">
        <f>+'[1]TD-EPA'!A20</f>
        <v>CONCILIACIONES</v>
      </c>
      <c r="B24" s="218">
        <f>VLOOKUP(A24,'TD-EPA'!$A$5:$H$36,2,0)</f>
        <v>2060000000</v>
      </c>
      <c r="C24" s="219">
        <f>VLOOKUP(A24,'TD-EPA'!$A$5:$H$36,3,0)</f>
        <v>2060000000</v>
      </c>
      <c r="D24" s="219">
        <f>VLOOKUP(A24,'TD-EPA'!$A$5:$H$36,5,0)</f>
        <v>1328338822</v>
      </c>
      <c r="E24" s="220">
        <f t="shared" ref="E24" si="15">D24/C24</f>
        <v>0.64482467087378637</v>
      </c>
      <c r="F24" s="218">
        <f>VLOOKUP(A24,'TD-EPA'!$A$5:$H$36,6,0)</f>
        <v>1288156825</v>
      </c>
      <c r="G24" s="220">
        <f t="shared" ref="G24" si="16">+F24/C24</f>
        <v>0.62531884708737862</v>
      </c>
      <c r="H24" s="218">
        <f>VLOOKUP(A24,'TD-EPA'!$A$5:$H$36,4,0)</f>
        <v>1387214628</v>
      </c>
      <c r="I24" s="218">
        <f>VLOOKUP(A24,'TD-EPA'!$A$5:$H$36,7,0)</f>
        <v>1263483953</v>
      </c>
      <c r="J24" s="218">
        <f t="shared" ref="J24" si="17">+C24-H24</f>
        <v>672785372</v>
      </c>
      <c r="K24" s="220">
        <f t="shared" ref="K24" si="18">+J24/C24</f>
        <v>0.32659484077669904</v>
      </c>
      <c r="L24" s="218">
        <f t="shared" ref="L24" si="19">+C24-D24</f>
        <v>731661178</v>
      </c>
      <c r="M24" s="220">
        <f t="shared" ref="M24" si="20">+L24/C24</f>
        <v>0.35517532912621358</v>
      </c>
      <c r="N24" s="218">
        <f t="shared" ref="N24" si="21">+C24-F24</f>
        <v>771843175</v>
      </c>
      <c r="O24" s="220">
        <f t="shared" ref="O24" si="22">+N24/C24</f>
        <v>0.37468115291262138</v>
      </c>
    </row>
    <row r="25" spans="1:15" ht="42.75">
      <c r="A25" s="217" t="str">
        <f>+'[1]TD-EPA'!A21</f>
        <v>INCAPACIDADES Y LICENCIAS DE MATERNIDAD Y PATERNIDAD (NO DE PENSIONES)</v>
      </c>
      <c r="B25" s="218">
        <f>VLOOKUP(A25,'TD-EPA'!$A$5:$H$36,2,0)</f>
        <v>128770000</v>
      </c>
      <c r="C25" s="219">
        <f>VLOOKUP(A25,'TD-EPA'!$A$5:$H$36,3,0)</f>
        <v>128770000</v>
      </c>
      <c r="D25" s="219">
        <f>VLOOKUP(A25,'TD-EPA'!$A$5:$H$36,5,0)</f>
        <v>25412615</v>
      </c>
      <c r="E25" s="220">
        <f>D25/C25</f>
        <v>0.19734887784421837</v>
      </c>
      <c r="F25" s="218">
        <f>VLOOKUP(A25,'TD-EPA'!$A$5:$H$36,6,0)</f>
        <v>25412615</v>
      </c>
      <c r="G25" s="220">
        <f t="shared" ref="G25" si="23">+F25/C25</f>
        <v>0.19734887784421837</v>
      </c>
      <c r="H25" s="218">
        <f>VLOOKUP(A25,'TD-EPA'!$A$5:$H$36,4,0)</f>
        <v>128770000</v>
      </c>
      <c r="I25" s="218">
        <f>VLOOKUP(A25,'TD-EPA'!$A$5:$H$36,7,0)</f>
        <v>25412615</v>
      </c>
      <c r="J25" s="218">
        <f t="shared" ref="J25" si="24">+C25-H25</f>
        <v>0</v>
      </c>
      <c r="K25" s="220">
        <f t="shared" ref="K25" si="25">+J25/C25</f>
        <v>0</v>
      </c>
      <c r="L25" s="218">
        <f t="shared" ref="L25" si="26">+C25-D25</f>
        <v>103357385</v>
      </c>
      <c r="M25" s="220">
        <f t="shared" ref="M25" si="27">+L25/C25</f>
        <v>0.8026511221557816</v>
      </c>
      <c r="N25" s="218">
        <f t="shared" ref="N25" si="28">+C25-F25</f>
        <v>103357385</v>
      </c>
      <c r="O25" s="220">
        <f t="shared" ref="O25" si="29">+N25/C25</f>
        <v>0.8026511221557816</v>
      </c>
    </row>
    <row r="26" spans="1:15">
      <c r="A26" s="217" t="str">
        <f>+'[1]TD-EPA'!A23</f>
        <v>IMPUESTOS</v>
      </c>
      <c r="B26" s="218">
        <f>VLOOKUP(A26,'TD-EPA'!$A$5:$H$36,2,0)</f>
        <v>51500000</v>
      </c>
      <c r="C26" s="219">
        <f>VLOOKUP(A26,'TD-EPA'!$A$5:$H$36,3,0)</f>
        <v>51500000</v>
      </c>
      <c r="D26" s="219">
        <f>VLOOKUP(A26,'TD-EPA'!$A$5:$H$36,5,0)</f>
        <v>2319000</v>
      </c>
      <c r="E26" s="220">
        <f t="shared" ref="E26:E27" si="30">D26/C26</f>
        <v>4.502912621359223E-2</v>
      </c>
      <c r="F26" s="218">
        <f>VLOOKUP(A26,'TD-EPA'!$A$5:$H$36,6,0)</f>
        <v>2319000</v>
      </c>
      <c r="G26" s="220">
        <f t="shared" ref="G26:G27" si="31">+F26/C26</f>
        <v>4.502912621359223E-2</v>
      </c>
      <c r="H26" s="218">
        <f>VLOOKUP(A26,'TD-EPA'!$A$5:$H$36,4,0)</f>
        <v>2342000</v>
      </c>
      <c r="I26" s="218">
        <f>VLOOKUP(A26,'TD-EPA'!$A$5:$H$36,7,0)</f>
        <v>2319000</v>
      </c>
      <c r="J26" s="218">
        <f t="shared" ref="J26:J27" si="32">+C26-H26</f>
        <v>49158000</v>
      </c>
      <c r="K26" s="220">
        <f t="shared" ref="K26:K27" si="33">+J26/C26</f>
        <v>0.95452427184466015</v>
      </c>
      <c r="L26" s="218">
        <f t="shared" ref="L26:L27" si="34">+C26-D26</f>
        <v>49181000</v>
      </c>
      <c r="M26" s="220">
        <f t="shared" ref="M26:M27" si="35">+L26/C26</f>
        <v>0.95497087378640777</v>
      </c>
      <c r="N26" s="218">
        <f t="shared" ref="N26:N27" si="36">+C26-F26</f>
        <v>49181000</v>
      </c>
      <c r="O26" s="220">
        <f t="shared" ref="O26:O27" si="37">+N26/C26</f>
        <v>0.95497087378640777</v>
      </c>
    </row>
    <row r="27" spans="1:15">
      <c r="A27" s="217" t="str">
        <f>+'[1]TD-EPA'!A24</f>
        <v>CUOTA DE FISCALIZACIÓN Y AUDITAJE</v>
      </c>
      <c r="B27" s="218">
        <f>VLOOKUP(A27,'TD-EPA'!$A$5:$H$36,2,0)</f>
        <v>236758000</v>
      </c>
      <c r="C27" s="219">
        <f>VLOOKUP(A27,'TD-EPA'!$A$5:$H$36,3,0)</f>
        <v>236758000</v>
      </c>
      <c r="D27" s="219">
        <f>VLOOKUP(A27,'TD-EPA'!$A$5:$H$36,5,0)</f>
        <v>584855.38</v>
      </c>
      <c r="E27" s="220">
        <f t="shared" si="30"/>
        <v>2.4702666013397645E-3</v>
      </c>
      <c r="F27" s="218">
        <f>VLOOKUP(A27,'TD-EPA'!$A$5:$H$36,6,0)</f>
        <v>584855.38</v>
      </c>
      <c r="G27" s="220">
        <f t="shared" si="31"/>
        <v>2.4702666013397645E-3</v>
      </c>
      <c r="H27" s="218">
        <f>VLOOKUP(A27,'TD-EPA'!$A$5:$H$36,4,0)</f>
        <v>584855.38</v>
      </c>
      <c r="I27" s="218">
        <f>VLOOKUP(A27,'TD-EPA'!$A$5:$H$36,7,0)</f>
        <v>584855.38</v>
      </c>
      <c r="J27" s="218">
        <f t="shared" si="32"/>
        <v>236173144.62</v>
      </c>
      <c r="K27" s="220">
        <f t="shared" si="33"/>
        <v>0.99752973339866025</v>
      </c>
      <c r="L27" s="218">
        <f t="shared" si="34"/>
        <v>236173144.62</v>
      </c>
      <c r="M27" s="220">
        <f t="shared" si="35"/>
        <v>0.99752973339866025</v>
      </c>
      <c r="N27" s="218">
        <f t="shared" si="36"/>
        <v>236173144.62</v>
      </c>
      <c r="O27" s="220">
        <f t="shared" si="37"/>
        <v>0.99752973339866025</v>
      </c>
    </row>
    <row r="28" spans="1:15" s="104" customFormat="1" ht="15.75" customHeight="1">
      <c r="A28" s="211" t="s">
        <v>109</v>
      </c>
      <c r="B28" s="212">
        <f>SUM(B29:B42)</f>
        <v>161536218750</v>
      </c>
      <c r="C28" s="212">
        <f>SUM(C29:C42)</f>
        <v>165336840329</v>
      </c>
      <c r="D28" s="212">
        <f>SUM(D29:D42)</f>
        <v>124716523435.08002</v>
      </c>
      <c r="E28" s="213">
        <f>D28/C28</f>
        <v>0.75431781076080473</v>
      </c>
      <c r="F28" s="212">
        <f>SUM(F29:F42)</f>
        <v>86689584024.970001</v>
      </c>
      <c r="G28" s="213">
        <f>+F28/C28</f>
        <v>0.52432103971787758</v>
      </c>
      <c r="H28" s="212">
        <f>SUM(H29:H42)</f>
        <v>127124038667.31999</v>
      </c>
      <c r="I28" s="212">
        <f>SUM(I29:I42)</f>
        <v>86487559322.970001</v>
      </c>
      <c r="J28" s="212">
        <f>SUM(J29:J42)</f>
        <v>38212801661.679993</v>
      </c>
      <c r="K28" s="213">
        <f>+J28/C28</f>
        <v>0.23112091404215304</v>
      </c>
      <c r="L28" s="212">
        <f>SUM(L29:L42)</f>
        <v>40620316893.919998</v>
      </c>
      <c r="M28" s="213">
        <f>+L28/C28</f>
        <v>0.24568218923919533</v>
      </c>
      <c r="N28" s="212">
        <f>SUM(N29:N42)</f>
        <v>78647256304.029999</v>
      </c>
      <c r="O28" s="213">
        <f t="shared" si="11"/>
        <v>0.47567896028212237</v>
      </c>
    </row>
    <row r="29" spans="1:15" ht="57">
      <c r="A29" s="217" t="str">
        <f>+'[1]TD-EPA'!A27</f>
        <v>INCREMENTO DE LA COBERTURA DE LOS SERVICIOS DE LA RED NACIONAL DE PROTECCIÓN AL CONSUMIDOR EN EL TERRITORIO  NACIONAL</v>
      </c>
      <c r="B29" s="218">
        <f>VLOOKUP(A29,'TD-EPA'!$A$5:$H$38,2,0)</f>
        <v>39427254112</v>
      </c>
      <c r="C29" s="219">
        <f>VLOOKUP(A29,'TD-EPA'!$A$5:$H$38,3,0)</f>
        <v>39427254112</v>
      </c>
      <c r="D29" s="219">
        <f>VLOOKUP(A29,'TD-EPA'!$A$5:$H$38,5,0)</f>
        <v>36439505111.800003</v>
      </c>
      <c r="E29" s="220">
        <f t="shared" si="5"/>
        <v>0.92422122545707153</v>
      </c>
      <c r="F29" s="218">
        <f>VLOOKUP(A29,'TD-EPA'!$A$5:$H$38,6,0)</f>
        <v>25412302340.91</v>
      </c>
      <c r="G29" s="220">
        <f t="shared" si="6"/>
        <v>0.64453644853689074</v>
      </c>
      <c r="H29" s="218">
        <f>VLOOKUP(A29,'TD-EPA'!$A$5:$H$38,4,0)</f>
        <v>36977225033.800003</v>
      </c>
      <c r="I29" s="218">
        <f>VLOOKUP(A29,'TD-EPA'!$A$5:$H$36,7,0)</f>
        <v>25375197640.91</v>
      </c>
      <c r="J29" s="218">
        <f t="shared" si="7"/>
        <v>2450029078.1999969</v>
      </c>
      <c r="K29" s="220">
        <f t="shared" si="8"/>
        <v>6.2140494776538623E-2</v>
      </c>
      <c r="L29" s="218">
        <f t="shared" si="9"/>
        <v>2987749000.1999969</v>
      </c>
      <c r="M29" s="220">
        <f t="shared" si="12"/>
        <v>7.5778774542928459E-2</v>
      </c>
      <c r="N29" s="218">
        <f t="shared" si="10"/>
        <v>14014951771.09</v>
      </c>
      <c r="O29" s="220">
        <f t="shared" si="11"/>
        <v>0.35546355146310932</v>
      </c>
    </row>
    <row r="30" spans="1:15" ht="57">
      <c r="A30" s="217" t="str">
        <f>+'[1]TD-EPA'!A28</f>
        <v>MEJORAMIENTO DEL CONTROL Y VIGILANCIA A LAS CÁMARAS DE COMERCIO Y COMERCIANTES A NIVEL  NACIONAL</v>
      </c>
      <c r="B30" s="218">
        <f>VLOOKUP(A30,'TD-EPA'!$A$5:$H$38,2,0)</f>
        <v>909785125</v>
      </c>
      <c r="C30" s="219">
        <f>VLOOKUP(A30,'TD-EPA'!$A$5:$H$38,3,0)</f>
        <v>909785125</v>
      </c>
      <c r="D30" s="219">
        <f>VLOOKUP(A30,'TD-EPA'!$A$5:$H$38,5,0)</f>
        <v>865951395</v>
      </c>
      <c r="E30" s="220">
        <f t="shared" si="5"/>
        <v>0.95181968929201821</v>
      </c>
      <c r="F30" s="218">
        <f>VLOOKUP(A30,'TD-EPA'!$A$5:$H$38,6,0)</f>
        <v>714377466.82000005</v>
      </c>
      <c r="G30" s="220">
        <f t="shared" si="6"/>
        <v>0.78521559342927272</v>
      </c>
      <c r="H30" s="218">
        <f>VLOOKUP(A30,'TD-EPA'!$A$5:$H$38,4,0)</f>
        <v>896551997</v>
      </c>
      <c r="I30" s="218">
        <f>VLOOKUP(A30,'TD-EPA'!$A$5:$H$36,7,0)</f>
        <v>714377466.82000005</v>
      </c>
      <c r="J30" s="218">
        <f t="shared" si="7"/>
        <v>13233128</v>
      </c>
      <c r="K30" s="220">
        <f t="shared" si="8"/>
        <v>1.4545333437936788E-2</v>
      </c>
      <c r="L30" s="218">
        <f t="shared" si="9"/>
        <v>43833730</v>
      </c>
      <c r="M30" s="220">
        <f t="shared" si="12"/>
        <v>4.8180310707981733E-2</v>
      </c>
      <c r="N30" s="218">
        <f t="shared" si="10"/>
        <v>195407658.17999995</v>
      </c>
      <c r="O30" s="220">
        <f t="shared" si="11"/>
        <v>0.21478440657072728</v>
      </c>
    </row>
    <row r="31" spans="1:15" ht="57">
      <c r="A31" s="217" t="str">
        <f>+'[1]TD-EPA'!A29</f>
        <v>FORTALECIMIENTO DE LA FUNCIÓN JURISDICCIONAL DE LA SUPERINTENDENCIA DE INDUSTRIA Y COMERCIO A NIVEL  NACIONAL</v>
      </c>
      <c r="B31" s="218">
        <f>VLOOKUP(A31,'TD-EPA'!$A$5:$H$38,2,0)</f>
        <v>3601793401</v>
      </c>
      <c r="C31" s="219">
        <f>VLOOKUP(A31,'TD-EPA'!$A$5:$H$38,3,0)</f>
        <v>3601793401</v>
      </c>
      <c r="D31" s="219">
        <f>VLOOKUP(A31,'TD-EPA'!$A$5:$H$38,5,0)</f>
        <v>3247550082</v>
      </c>
      <c r="E31" s="220">
        <f t="shared" si="5"/>
        <v>0.90164807373414368</v>
      </c>
      <c r="F31" s="218">
        <f>VLOOKUP(A31,'TD-EPA'!$A$5:$H$38,6,0)</f>
        <v>2734700495</v>
      </c>
      <c r="G31" s="220">
        <f t="shared" si="6"/>
        <v>0.75926078776221295</v>
      </c>
      <c r="H31" s="218">
        <f>VLOOKUP(A31,'TD-EPA'!$A$5:$H$38,4,0)</f>
        <v>3495285424</v>
      </c>
      <c r="I31" s="218">
        <f>VLOOKUP(A31,'TD-EPA'!$A$5:$H$36,7,0)</f>
        <v>2734700495</v>
      </c>
      <c r="J31" s="218">
        <f t="shared" si="7"/>
        <v>106507977</v>
      </c>
      <c r="K31" s="220">
        <f t="shared" si="8"/>
        <v>2.9570817962637497E-2</v>
      </c>
      <c r="L31" s="218">
        <f t="shared" si="9"/>
        <v>354243319</v>
      </c>
      <c r="M31" s="220">
        <f t="shared" si="12"/>
        <v>9.8351926265856357E-2</v>
      </c>
      <c r="N31" s="218">
        <f t="shared" si="10"/>
        <v>867092906</v>
      </c>
      <c r="O31" s="220">
        <f t="shared" si="11"/>
        <v>0.2407392122377871</v>
      </c>
    </row>
    <row r="32" spans="1:15" ht="56.25" customHeight="1">
      <c r="A32" s="217" t="str">
        <f>+'[1]TD-EPA'!A30</f>
        <v>FORTALECIMIENTO DE LA PROTECCIÓN DE DATOS PERSONALES A NIVEL  NACIONAL</v>
      </c>
      <c r="B32" s="218">
        <f>VLOOKUP(A32,'TD-EPA'!$A$5:$H$38,2,0)</f>
        <v>2591894878</v>
      </c>
      <c r="C32" s="219">
        <f>VLOOKUP(A32,'TD-EPA'!$A$5:$H$38,3,0)</f>
        <v>2591894878</v>
      </c>
      <c r="D32" s="219">
        <f>VLOOKUP(A32,'TD-EPA'!$A$5:$H$38,5,0)</f>
        <v>2538615454.1300001</v>
      </c>
      <c r="E32" s="220">
        <f t="shared" si="5"/>
        <v>0.97944383303418836</v>
      </c>
      <c r="F32" s="218">
        <f>VLOOKUP(A32,'TD-EPA'!$A$5:$H$38,6,0)</f>
        <v>2094994317.6800001</v>
      </c>
      <c r="G32" s="220">
        <f t="shared" si="6"/>
        <v>0.8082867617287679</v>
      </c>
      <c r="H32" s="218">
        <f>VLOOKUP(A32,'TD-EPA'!$A$5:$H$38,4,0)</f>
        <v>2541001192.1300001</v>
      </c>
      <c r="I32" s="218">
        <f>VLOOKUP(A32,'TD-EPA'!$A$5:$H$38,7,0)</f>
        <v>2094994317.6800001</v>
      </c>
      <c r="J32" s="218">
        <f t="shared" si="7"/>
        <v>50893685.869999886</v>
      </c>
      <c r="K32" s="220">
        <f t="shared" si="8"/>
        <v>1.96357060241854E-2</v>
      </c>
      <c r="L32" s="218">
        <f t="shared" si="9"/>
        <v>53279423.869999886</v>
      </c>
      <c r="M32" s="220">
        <f t="shared" si="12"/>
        <v>2.0556166965811598E-2</v>
      </c>
      <c r="N32" s="218">
        <f t="shared" si="10"/>
        <v>496900560.31999993</v>
      </c>
      <c r="O32" s="220">
        <f t="shared" si="11"/>
        <v>0.19171323827123204</v>
      </c>
    </row>
    <row r="33" spans="1:15" ht="57">
      <c r="A33" s="217" t="str">
        <f>+'[1]TD-EPA'!A31</f>
        <v>FORTALECIMIENTO DEL RÉGIMEN DE PROTECCIÓN DE LA LIBRE COMPETENCIA ECONÓMICA EN LOS MERCADOS A NIVEL  NACIONAL</v>
      </c>
      <c r="B33" s="218">
        <f>VLOOKUP(A33,'TD-EPA'!$A$5:$H$38,2,0)</f>
        <v>8032499000</v>
      </c>
      <c r="C33" s="219">
        <f>VLOOKUP(A33,'TD-EPA'!$A$5:$H$38,3,0)</f>
        <v>8032499000</v>
      </c>
      <c r="D33" s="219">
        <f>VLOOKUP(A33,'TD-EPA'!$A$5:$H$38,5,0)</f>
        <v>7775656509</v>
      </c>
      <c r="E33" s="220">
        <f t="shared" si="5"/>
        <v>0.96802458475251596</v>
      </c>
      <c r="F33" s="218">
        <f>VLOOKUP(A33,'TD-EPA'!$A$5:$H$38,6,0)</f>
        <v>6260136885.7700005</v>
      </c>
      <c r="G33" s="220">
        <f t="shared" si="6"/>
        <v>0.77935109431946403</v>
      </c>
      <c r="H33" s="218">
        <f>VLOOKUP(A33,'TD-EPA'!$A$5:$H$38,4,0)</f>
        <v>7823960504</v>
      </c>
      <c r="I33" s="218">
        <f>VLOOKUP(A33,'TD-EPA'!$A$5:$H$36,7,0)</f>
        <v>6260136885.7700005</v>
      </c>
      <c r="J33" s="218">
        <f t="shared" si="7"/>
        <v>208538496</v>
      </c>
      <c r="K33" s="220">
        <f t="shared" si="8"/>
        <v>2.5961845248906972E-2</v>
      </c>
      <c r="L33" s="218">
        <f t="shared" si="9"/>
        <v>256842491</v>
      </c>
      <c r="M33" s="220">
        <f t="shared" si="12"/>
        <v>3.1975415247484006E-2</v>
      </c>
      <c r="N33" s="218">
        <f t="shared" si="10"/>
        <v>1772362114.2299995</v>
      </c>
      <c r="O33" s="220">
        <f t="shared" si="11"/>
        <v>0.22064890568053597</v>
      </c>
    </row>
    <row r="34" spans="1:15" ht="61.5" customHeight="1">
      <c r="A34" s="217" t="str">
        <f>+'[1]TD-EPA'!A32</f>
        <v>FORTALECIMIENTO DE LA ATENCIÓN Y PROMOCIÓN DE TRÁMITES Y SERVICIOS EN EL MARCO DEL SISTEMA DE PROPIEDAD INDUSTRIAL A NIVEL  NACIONAL</v>
      </c>
      <c r="B34" s="218">
        <f>VLOOKUP(A34,'TD-EPA'!$A$5:$H$38,2,0)</f>
        <v>8791562000</v>
      </c>
      <c r="C34" s="219">
        <f>VLOOKUP(A34,'TD-EPA'!$A$5:$H$38,3,0)</f>
        <v>8791562000</v>
      </c>
      <c r="D34" s="219">
        <f>VLOOKUP(A34,'TD-EPA'!$A$5:$H$38,5,0)</f>
        <v>7874196438</v>
      </c>
      <c r="E34" s="220">
        <f t="shared" si="5"/>
        <v>0.89565385968955236</v>
      </c>
      <c r="F34" s="218">
        <f>VLOOKUP(A34,'TD-EPA'!$A$5:$H$38,6,0)</f>
        <v>5662509768.7299995</v>
      </c>
      <c r="G34" s="220">
        <f t="shared" si="6"/>
        <v>0.6440846084836801</v>
      </c>
      <c r="H34" s="218">
        <f>VLOOKUP(A34,'TD-EPA'!$A$5:$H$38,4,0)</f>
        <v>7875913563</v>
      </c>
      <c r="I34" s="218">
        <f>VLOOKUP(A34,'TD-EPA'!$A$5:$H$36,7,0)</f>
        <v>5650009768.7299995</v>
      </c>
      <c r="J34" s="218">
        <f t="shared" si="7"/>
        <v>915648437</v>
      </c>
      <c r="K34" s="220">
        <f t="shared" si="8"/>
        <v>0.10415082518897097</v>
      </c>
      <c r="L34" s="218">
        <f t="shared" si="9"/>
        <v>917365562</v>
      </c>
      <c r="M34" s="220">
        <f t="shared" si="12"/>
        <v>0.10434614031044767</v>
      </c>
      <c r="N34" s="218">
        <f t="shared" si="10"/>
        <v>3129052231.2700005</v>
      </c>
      <c r="O34" s="220">
        <f t="shared" si="11"/>
        <v>0.3559153915163199</v>
      </c>
    </row>
    <row r="35" spans="1:15" ht="69.75" customHeight="1">
      <c r="A35" s="217" t="str">
        <f>+'[1]TD-EPA'!A33</f>
        <v>MEJORAMIENTO EN LA EJECUCIÓN DE LAS FUNCIONES ASIGNADAS EN MATERIA DE PROTECCIÓN AL CONSUMIDOR A NIVEL  NACIONAL</v>
      </c>
      <c r="B35" s="218">
        <f>VLOOKUP(A35,'TD-EPA'!$A$5:$H$38,2,0)</f>
        <v>5305076993</v>
      </c>
      <c r="C35" s="219">
        <f>VLOOKUP(A35,'TD-EPA'!$A$5:$H$38,3,0)</f>
        <v>9105698572</v>
      </c>
      <c r="D35" s="219">
        <f>VLOOKUP(A35,'TD-EPA'!$A$5:$H$38,5,0)</f>
        <v>8103815557</v>
      </c>
      <c r="E35" s="220">
        <f t="shared" si="5"/>
        <v>0.88997186683943308</v>
      </c>
      <c r="F35" s="218">
        <f>VLOOKUP(A35,'TD-EPA'!$A$5:$H$38,6,0)</f>
        <v>5317888604.3800001</v>
      </c>
      <c r="G35" s="220">
        <f t="shared" si="6"/>
        <v>0.58401764151654367</v>
      </c>
      <c r="H35" s="218">
        <f>VLOOKUP(A35,'TD-EPA'!$A$5:$H$38,4,0)</f>
        <v>8183523057</v>
      </c>
      <c r="I35" s="218">
        <f>VLOOKUP(A35,'TD-EPA'!$A$5:$H$36,7,0)</f>
        <v>5312795316.3800001</v>
      </c>
      <c r="J35" s="218">
        <f t="shared" si="7"/>
        <v>922175515</v>
      </c>
      <c r="K35" s="220">
        <f t="shared" si="8"/>
        <v>0.10127454886719921</v>
      </c>
      <c r="L35" s="218">
        <f t="shared" si="9"/>
        <v>1001883015</v>
      </c>
      <c r="M35" s="220">
        <f t="shared" si="12"/>
        <v>0.11002813316056692</v>
      </c>
      <c r="N35" s="218">
        <f t="shared" si="10"/>
        <v>3787809967.6199999</v>
      </c>
      <c r="O35" s="220">
        <f t="shared" si="11"/>
        <v>0.41598235848345627</v>
      </c>
    </row>
    <row r="36" spans="1:15" ht="99.75">
      <c r="A36" s="217" t="str">
        <f>+'[1]TD-EPA'!A34</f>
        <v>FORTALECIMIENTO DE LA FUNCIÓN DE INSPECCIÓN, CONTROL Y VIGILANCIA DE LA SUPERINTENDENCIA DE INDUSTRIA Y COMERCIO EN EL MARCO DEL SUBSISTEMA NACIONAL DE CALIDAD, EL RÉGIMEN DE CONTROL DE PRECIOS Y EL SECTOR VALUATORIO A NIVEL  NACIONAL</v>
      </c>
      <c r="B36" s="218">
        <f>VLOOKUP(A36,'TD-EPA'!$A$5:$H$38,2,0)</f>
        <v>4769339865</v>
      </c>
      <c r="C36" s="219">
        <f>VLOOKUP(A36,'TD-EPA'!$A$5:$H$38,3,0)</f>
        <v>4769339865</v>
      </c>
      <c r="D36" s="219">
        <f>VLOOKUP(A36,'TD-EPA'!$A$5:$H$38,5,0)</f>
        <v>4653022112.9200001</v>
      </c>
      <c r="E36" s="220">
        <f t="shared" si="5"/>
        <v>0.97561135180707026</v>
      </c>
      <c r="F36" s="218">
        <f>VLOOKUP(A36,'TD-EPA'!$A$5:$H$38,6,0)</f>
        <v>3689105887.5599999</v>
      </c>
      <c r="G36" s="220">
        <f t="shared" si="6"/>
        <v>0.77350450837707285</v>
      </c>
      <c r="H36" s="218">
        <f>VLOOKUP(A36,'TD-EPA'!$A$5:$H$38,4,0)</f>
        <v>4661795246</v>
      </c>
      <c r="I36" s="218">
        <f>VLOOKUP(A36,'TD-EPA'!$A$5:$H$36,7,0)</f>
        <v>3687100541.5599999</v>
      </c>
      <c r="J36" s="218">
        <f t="shared" si="7"/>
        <v>107544619</v>
      </c>
      <c r="K36" s="220">
        <f t="shared" si="8"/>
        <v>2.2549162367148688E-2</v>
      </c>
      <c r="L36" s="218">
        <f t="shared" si="9"/>
        <v>116317752.07999992</v>
      </c>
      <c r="M36" s="220">
        <f t="shared" si="12"/>
        <v>2.438864819292972E-2</v>
      </c>
      <c r="N36" s="218">
        <f t="shared" si="10"/>
        <v>1080233977.4400001</v>
      </c>
      <c r="O36" s="220">
        <f t="shared" si="11"/>
        <v>0.22649549162292715</v>
      </c>
    </row>
    <row r="37" spans="1:15" ht="57">
      <c r="A37" s="217" t="str">
        <f>+'[1]TD-EPA'!A36</f>
        <v>IMPLEMENTACIÓN DE UNA SOLUCIÓN INMOBILIARIA PARA LA SUPERINTENDENCIA DE INDUSTRIA Y COMERCIO EN  BOGOTÁ</v>
      </c>
      <c r="B37" s="218">
        <f>VLOOKUP(A37,'TD-EPA'!$A$5:$H$38,2,0)</f>
        <v>30262520191</v>
      </c>
      <c r="C37" s="219">
        <f>VLOOKUP(A37,'TD-EPA'!$A$5:$H$38,3,0)</f>
        <v>0</v>
      </c>
      <c r="D37" s="219">
        <f>VLOOKUP(A37,'TD-EPA'!$A$5:$H$38,5,0)</f>
        <v>0</v>
      </c>
      <c r="E37" s="220">
        <v>0</v>
      </c>
      <c r="F37" s="218">
        <f>VLOOKUP(A37,'TD-EPA'!$A$5:$H$38,6,0)</f>
        <v>0</v>
      </c>
      <c r="G37" s="220">
        <v>0</v>
      </c>
      <c r="H37" s="218">
        <f>VLOOKUP(A37,'TD-EPA'!$A$5:$H$38,4,0)</f>
        <v>0</v>
      </c>
      <c r="I37" s="218">
        <f>VLOOKUP(A37,'TD-EPA'!$A$5:$H$42,7,0)</f>
        <v>0</v>
      </c>
      <c r="J37" s="218">
        <f t="shared" si="7"/>
        <v>0</v>
      </c>
      <c r="K37" s="220">
        <v>0</v>
      </c>
      <c r="L37" s="218">
        <f t="shared" si="9"/>
        <v>0</v>
      </c>
      <c r="M37" s="220">
        <v>0</v>
      </c>
      <c r="N37" s="218">
        <f t="shared" si="10"/>
        <v>0</v>
      </c>
      <c r="O37" s="220">
        <v>0</v>
      </c>
    </row>
    <row r="38" spans="1:15" ht="57">
      <c r="A38" s="217" t="str">
        <f>+'[1]TD-EPA'!A37</f>
        <v>FORTALECIMIENTO DEL SISTEMA DE ATENCIÓN AL CIUDADANO DE LA SUPERINTENDENCIA DE INDUSTRIA Y COMERCIO A NIVEL  NACIONAL</v>
      </c>
      <c r="B38" s="218">
        <f>VLOOKUP(A38,'TD-EPA'!$A$5:$H$38,2,0)</f>
        <v>28050706799</v>
      </c>
      <c r="C38" s="219">
        <f>VLOOKUP(A38,'TD-EPA'!$A$5:$H$38,3,0)</f>
        <v>28050706799</v>
      </c>
      <c r="D38" s="219">
        <f>VLOOKUP(A38,'TD-EPA'!$A$5:$H$38,5,0)</f>
        <v>26519401117.080002</v>
      </c>
      <c r="E38" s="220">
        <v>0</v>
      </c>
      <c r="F38" s="218">
        <f>VLOOKUP(A38,'TD-EPA'!$A$5:$H$38,6,0)</f>
        <v>16326415474</v>
      </c>
      <c r="G38" s="220">
        <v>0</v>
      </c>
      <c r="H38" s="218">
        <f>VLOOKUP(A38,'TD-EPA'!$A$5:$H$38,4,0)</f>
        <v>26696738646.080002</v>
      </c>
      <c r="I38" s="218">
        <f>VLOOKUP(A38,'TD-EPA'!$A$5:$H$40,7,0)</f>
        <v>16181094106</v>
      </c>
      <c r="J38" s="218">
        <f t="shared" si="7"/>
        <v>1353968152.9199982</v>
      </c>
      <c r="K38" s="220">
        <v>0</v>
      </c>
      <c r="L38" s="218">
        <f t="shared" si="9"/>
        <v>1531305681.9199982</v>
      </c>
      <c r="M38" s="220">
        <v>0</v>
      </c>
      <c r="N38" s="218">
        <f t="shared" si="10"/>
        <v>11724291325</v>
      </c>
      <c r="O38" s="220">
        <v>0</v>
      </c>
    </row>
    <row r="39" spans="1:15" ht="85.5">
      <c r="A39" s="217" t="str">
        <f>+'[1]TD-EPA'!A38</f>
        <v>MEJORAMIENTO DE LOS SISTEMAS DE INFORMACIÓN Y SERVICIOS TECNOLÓGICOS DE LA SUPERINTENDENCIA DE INDUSTRIA Y COMERCIO EN EL TERRITORIO  NACIONAL</v>
      </c>
      <c r="B39" s="218">
        <f>VLOOKUP(A39,'TD-EPA'!$A$5:$H$42,2,0)</f>
        <v>25661863246</v>
      </c>
      <c r="C39" s="219">
        <f>VLOOKUP(A39,'TD-EPA'!$A$5:$H$42,3,0)</f>
        <v>25661863246</v>
      </c>
      <c r="D39" s="219">
        <f>VLOOKUP(A39,'TD-EPA'!$A$5:$H$42,5,0)</f>
        <v>23216318606.150002</v>
      </c>
      <c r="E39" s="220">
        <f t="shared" si="5"/>
        <v>0.90470120519283825</v>
      </c>
      <c r="F39" s="218">
        <f>VLOOKUP(A39,'TD-EPA'!$A$5:$H$42,6,0)</f>
        <v>15968639626.27</v>
      </c>
      <c r="G39" s="220">
        <f>+F39/C39</f>
        <v>0.62227124637019826</v>
      </c>
      <c r="H39" s="218">
        <f>VLOOKUP(A39,'TD-EPA'!$A$5:$H$42,4,0)</f>
        <v>24469562983.310001</v>
      </c>
      <c r="I39" s="218">
        <f>VLOOKUP(A39,'TD-EPA'!$A$5:$H$42,7,0)</f>
        <v>15968639626.27</v>
      </c>
      <c r="J39" s="218">
        <f t="shared" si="7"/>
        <v>1192300262.6899986</v>
      </c>
      <c r="K39" s="220">
        <f t="shared" si="8"/>
        <v>4.646195216849059E-2</v>
      </c>
      <c r="L39" s="218">
        <f t="shared" si="9"/>
        <v>2445544639.8499985</v>
      </c>
      <c r="M39" s="220">
        <f t="shared" si="12"/>
        <v>9.5298794807161705E-2</v>
      </c>
      <c r="N39" s="218">
        <f t="shared" si="10"/>
        <v>9693223619.7299995</v>
      </c>
      <c r="O39" s="220">
        <f t="shared" si="11"/>
        <v>0.37772875362980179</v>
      </c>
    </row>
    <row r="40" spans="1:15" ht="69" customHeight="1">
      <c r="A40" s="217" t="str">
        <f>+'[1]TD-EPA'!A39</f>
        <v>MEJORAMIENTO DE LA INFRAESTRUCTURA FÍSICA DE LA SEDE DE LA SUPERINTENDENCIA DE INDUSTRIA Y COMERCIO EN  BOGOTÁ</v>
      </c>
      <c r="B40" s="218">
        <f>VLOOKUP(A40,'TD-EPA'!$A$5:$H$40,2,0)</f>
        <v>773529015</v>
      </c>
      <c r="C40" s="219">
        <f>VLOOKUP(A40,'TD-EPA'!$A$5:$H$40,3,0)</f>
        <v>773529015</v>
      </c>
      <c r="D40" s="219">
        <f>VLOOKUP(A40,'TD-EPA'!$A$5:$H$40,5,0)</f>
        <v>586063519</v>
      </c>
      <c r="E40" s="220">
        <f t="shared" ref="E40" si="38">D40/C40</f>
        <v>0.75764904436066949</v>
      </c>
      <c r="F40" s="218">
        <f>VLOOKUP(A40,'TD-EPA'!$A$5:$H$40,6,0)</f>
        <v>320540608.85000002</v>
      </c>
      <c r="G40" s="220">
        <f t="shared" ref="G40" si="39">+F40/C40</f>
        <v>0.4143873114442902</v>
      </c>
      <c r="H40" s="218">
        <f>VLOOKUP(A40,'TD-EPA'!$A$5:$H$40,4,0)</f>
        <v>586063519</v>
      </c>
      <c r="I40" s="218">
        <f>VLOOKUP(A40,'TD-EPA'!$A$5:$H$40,7,0)</f>
        <v>320540608.85000002</v>
      </c>
      <c r="J40" s="218">
        <f t="shared" ref="J40" si="40">+C40-H40</f>
        <v>187465496</v>
      </c>
      <c r="K40" s="220">
        <f t="shared" ref="K40" si="41">+J40/C40</f>
        <v>0.24235095563933048</v>
      </c>
      <c r="L40" s="218">
        <f t="shared" ref="L40" si="42">+C40-D40</f>
        <v>187465496</v>
      </c>
      <c r="M40" s="220">
        <f t="shared" ref="M40" si="43">+L40/C40</f>
        <v>0.24235095563933048</v>
      </c>
      <c r="N40" s="218">
        <f t="shared" ref="N40" si="44">+C40-F40</f>
        <v>452988406.14999998</v>
      </c>
      <c r="O40" s="220">
        <f t="shared" ref="O40" si="45">+N40/C40</f>
        <v>0.5856126885557098</v>
      </c>
    </row>
    <row r="41" spans="1:15" ht="57">
      <c r="A41" s="217" t="str">
        <f>+'[1]TD-EPA'!A40</f>
        <v>MEJORAMIENTO EN LA CALIDAD DE LA GESTIÓN ESTRATÉGICA DE LA SUPERINTENDENCIA DE INDUSTRIA Y COMERCIO A NIVEL  NACIONAL</v>
      </c>
      <c r="B41" s="218">
        <f>VLOOKUP(A41,'TD-EPA'!$A$5:$H$42,2,0)</f>
        <v>3358394125</v>
      </c>
      <c r="C41" s="219">
        <f>VLOOKUP(A41,'TD-EPA'!$A$5:$H$42,3,0)</f>
        <v>3358394125</v>
      </c>
      <c r="D41" s="219">
        <f>VLOOKUP(A41,'TD-EPA'!$A$5:$H$42,5,0)</f>
        <v>2896427533</v>
      </c>
      <c r="E41" s="220">
        <f t="shared" ref="E41" si="46">D41/C41</f>
        <v>0.86244419957708207</v>
      </c>
      <c r="F41" s="218">
        <f>VLOOKUP(A41,'TD-EPA'!$A$5:$H$42,6,0)</f>
        <v>2187972549</v>
      </c>
      <c r="G41" s="220">
        <f t="shared" ref="G41" si="47">+F41/C41</f>
        <v>0.65149368048039924</v>
      </c>
      <c r="H41" s="218">
        <f>VLOOKUP(A41,'TD-EPA'!$A$5:$H$42,4,0)</f>
        <v>2916417502</v>
      </c>
      <c r="I41" s="218">
        <f>VLOOKUP(A41,'TD-EPA'!$A$5:$H$42,7,0)</f>
        <v>2187972549</v>
      </c>
      <c r="J41" s="218">
        <f t="shared" ref="J41" si="48">+C41-H41</f>
        <v>441976623</v>
      </c>
      <c r="K41" s="220">
        <f t="shared" ref="K41" si="49">+J41/C41</f>
        <v>0.13160356007947696</v>
      </c>
      <c r="L41" s="218">
        <f t="shared" ref="L41" si="50">+C41-D41</f>
        <v>461966592</v>
      </c>
      <c r="M41" s="220">
        <f t="shared" ref="M41" si="51">+L41/C41</f>
        <v>0.1375558004229179</v>
      </c>
      <c r="N41" s="218">
        <f t="shared" ref="N41" si="52">+C41-F41</f>
        <v>1170421576</v>
      </c>
      <c r="O41" s="220">
        <f t="shared" ref="O41" si="53">+N41/C41</f>
        <v>0.34850631951960076</v>
      </c>
    </row>
    <row r="42" spans="1:15" ht="57">
      <c r="A42" s="217" t="s">
        <v>216</v>
      </c>
      <c r="B42" s="218">
        <f>VLOOKUP(A42,'TD-EPA'!$A$5:$H$44,2,0)</f>
        <v>0</v>
      </c>
      <c r="C42" s="219">
        <f>VLOOKUP(A42,'TD-EPA'!$A$5:$H$44,3,0)</f>
        <v>30262520191</v>
      </c>
      <c r="D42" s="219">
        <f>VLOOKUP(A42,'TD-EPA'!$A$5:$H$44,5,0)</f>
        <v>0</v>
      </c>
      <c r="E42" s="220">
        <f t="shared" ref="E42" si="54">D42/C42</f>
        <v>0</v>
      </c>
      <c r="F42" s="218">
        <f>VLOOKUP(A42,'TD-EPA'!$A$5:$H$44,6,0)</f>
        <v>0</v>
      </c>
      <c r="G42" s="220">
        <f t="shared" ref="G42" si="55">+F42/C42</f>
        <v>0</v>
      </c>
      <c r="H42" s="218">
        <f>VLOOKUP(A42,'TD-EPA'!$A$5:$H$44,4,0)</f>
        <v>0</v>
      </c>
      <c r="I42" s="218">
        <f>VLOOKUP(A42,'TD-EPA'!$A$5:$H$44,7,0)</f>
        <v>0</v>
      </c>
      <c r="J42" s="218">
        <f t="shared" ref="J42" si="56">+C42-H42</f>
        <v>30262520191</v>
      </c>
      <c r="K42" s="220">
        <f t="shared" ref="K42" si="57">+J42/C42</f>
        <v>1</v>
      </c>
      <c r="L42" s="218">
        <f t="shared" ref="L42" si="58">+C42-D42</f>
        <v>30262520191</v>
      </c>
      <c r="M42" s="220">
        <f t="shared" ref="M42" si="59">+L42/C42</f>
        <v>1</v>
      </c>
      <c r="N42" s="218">
        <f t="shared" ref="N42" si="60">+C42-F42</f>
        <v>30262520191</v>
      </c>
      <c r="O42" s="220">
        <f t="shared" ref="O42" si="61">+N42/C42</f>
        <v>1</v>
      </c>
    </row>
    <row r="43" spans="1:15" s="104" customFormat="1" ht="15.75">
      <c r="A43" s="221" t="s">
        <v>60</v>
      </c>
      <c r="B43" s="222">
        <f>B8+B28</f>
        <v>240291898618</v>
      </c>
      <c r="C43" s="222">
        <f>C8+C28</f>
        <v>244092520197</v>
      </c>
      <c r="D43" s="222">
        <f>D8+D28</f>
        <v>187231231878.30002</v>
      </c>
      <c r="E43" s="213">
        <f t="shared" si="5"/>
        <v>0.76705026326571213</v>
      </c>
      <c r="F43" s="222">
        <f>F8+F28</f>
        <v>145920252784.19</v>
      </c>
      <c r="G43" s="213">
        <f t="shared" si="6"/>
        <v>0.59780714569386229</v>
      </c>
      <c r="H43" s="222">
        <f>H8+H28</f>
        <v>201375249412</v>
      </c>
      <c r="I43" s="222">
        <f>I8+I28</f>
        <v>145688427360.19</v>
      </c>
      <c r="J43" s="222">
        <f>J8+J28</f>
        <v>42717270784.999992</v>
      </c>
      <c r="K43" s="213">
        <f t="shared" si="8"/>
        <v>0.1750044235297506</v>
      </c>
      <c r="L43" s="222">
        <f>L8+L28</f>
        <v>56861288318.699997</v>
      </c>
      <c r="M43" s="213">
        <f t="shared" si="12"/>
        <v>0.23294973673428787</v>
      </c>
      <c r="N43" s="222">
        <f>N8+N28</f>
        <v>98172267412.809998</v>
      </c>
      <c r="O43" s="213">
        <f t="shared" si="11"/>
        <v>0.40219285430613771</v>
      </c>
    </row>
    <row r="44" spans="1:15" s="105" customFormat="1">
      <c r="B44" s="106">
        <f>B43-[2]REP_EPG034_EjecucionPresupuesta!P32</f>
        <v>99797015618</v>
      </c>
      <c r="C44" s="107">
        <f>C43-[2]REP_EPG034_EjecucionPresupuesta!S32</f>
        <v>103597637197</v>
      </c>
      <c r="D44" s="107">
        <f>D43-[2]REP_EPG034_EjecucionPresupuesta!W32</f>
        <v>134547516683.75002</v>
      </c>
      <c r="E44" s="108">
        <f>D43/C43</f>
        <v>0.76705026326571213</v>
      </c>
      <c r="F44" s="106">
        <f>F43-[2]REP_EPG034_EjecucionPresupuesta!X32</f>
        <v>140999002544.98999</v>
      </c>
      <c r="G44" s="108">
        <f>F43/C43</f>
        <v>0.59780714569386229</v>
      </c>
      <c r="H44" s="106">
        <f>H43-[2]REP_EPG034_EjecucionPresupuesta!U32</f>
        <v>92363695977.919998</v>
      </c>
      <c r="I44" s="106">
        <f>I43-[2]REP_EPG034_EjecucionPresupuesta!Z32</f>
        <v>141416054318.73001</v>
      </c>
      <c r="J44" s="106">
        <f>C43-(H43+J43)</f>
        <v>0</v>
      </c>
      <c r="K44" s="108">
        <f>J43/C43</f>
        <v>0.1750044235297506</v>
      </c>
      <c r="L44" s="106">
        <f>C43-(D43+L43)</f>
        <v>0</v>
      </c>
      <c r="M44" s="108">
        <f>L43/C43</f>
        <v>0.23294973673428787</v>
      </c>
      <c r="N44" s="106">
        <f>C43-(F43+N43)</f>
        <v>0</v>
      </c>
      <c r="O44" s="108">
        <f>N43/C43</f>
        <v>0.40219285430613771</v>
      </c>
    </row>
    <row r="45" spans="1:15">
      <c r="C45" s="109"/>
      <c r="F45" s="110"/>
    </row>
    <row r="47" spans="1:15">
      <c r="C47" s="109"/>
    </row>
  </sheetData>
  <sheetProtection password="E11B" sheet="1" objects="1" scenarios="1"/>
  <pageMargins left="0.7" right="0.7" top="0.75" bottom="0.75" header="0.3" footer="0.3"/>
  <pageSetup orientation="portrait" r:id="rId1"/>
  <ignoredErrors>
    <ignoredError sqref="B14:O27 B40:O40 B37:D37 L37 N37 F37 H37 B43:O43 E42 G42 J42:O42 B38:D38 F38 H38:J38 L38 N38 E39 I39:O39 E41 G41 J41:O41 J37 E8:O9 B29:O36 B28:D28 F28:O28" formula="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00B0F0"/>
    <pageSetUpPr fitToPage="1"/>
  </sheetPr>
  <dimension ref="A1:M72"/>
  <sheetViews>
    <sheetView tabSelected="1" topLeftCell="A4" zoomScale="120" zoomScaleNormal="120" workbookViewId="0">
      <selection activeCell="B4" sqref="B4"/>
    </sheetView>
  </sheetViews>
  <sheetFormatPr baseColWidth="10" defaultRowHeight="15"/>
  <cols>
    <col min="1" max="1" width="11.42578125" style="167"/>
    <col min="2" max="2" width="24.85546875" bestFit="1" customWidth="1"/>
    <col min="3" max="9" width="20.140625" customWidth="1"/>
    <col min="10" max="10" width="18" style="167" bestFit="1" customWidth="1"/>
    <col min="11" max="11" width="17.5703125" style="167" bestFit="1" customWidth="1"/>
    <col min="12" max="12" width="17.85546875" style="167" bestFit="1" customWidth="1"/>
    <col min="13" max="13" width="11.42578125" style="167"/>
  </cols>
  <sheetData>
    <row r="1" spans="1:13" s="167" customFormat="1" ht="20.25">
      <c r="B1" s="96"/>
      <c r="D1" s="97" t="s">
        <v>33</v>
      </c>
    </row>
    <row r="2" spans="1:13" s="167" customFormat="1">
      <c r="B2" s="96"/>
      <c r="D2" s="96"/>
    </row>
    <row r="3" spans="1:13" s="167" customFormat="1">
      <c r="B3" s="96"/>
      <c r="D3" s="101" t="s">
        <v>131</v>
      </c>
    </row>
    <row r="4" spans="1:13" s="167" customFormat="1">
      <c r="B4" s="96"/>
      <c r="D4" s="102" t="s">
        <v>217</v>
      </c>
    </row>
    <row r="5" spans="1:13" s="167" customFormat="1">
      <c r="B5" s="96"/>
      <c r="D5" s="101" t="s">
        <v>96</v>
      </c>
    </row>
    <row r="6" spans="1:13" s="167" customFormat="1">
      <c r="B6" s="96"/>
      <c r="D6" s="103"/>
    </row>
    <row r="7" spans="1:13" s="167" customFormat="1"/>
    <row r="8" spans="1:13">
      <c r="B8" s="248" t="s">
        <v>65</v>
      </c>
      <c r="C8" s="248"/>
      <c r="D8" s="248"/>
      <c r="E8" s="248"/>
      <c r="F8" s="248"/>
      <c r="G8" s="248"/>
      <c r="H8" s="248"/>
      <c r="I8" s="248"/>
    </row>
    <row r="9" spans="1:13" ht="15.75" customHeight="1" thickBot="1">
      <c r="B9" s="248"/>
      <c r="C9" s="248"/>
      <c r="D9" s="248"/>
      <c r="E9" s="248"/>
      <c r="F9" s="248"/>
      <c r="G9" s="248"/>
      <c r="H9" s="248"/>
      <c r="I9" s="248"/>
    </row>
    <row r="10" spans="1:13" s="122" customFormat="1" ht="17.25" thickBot="1">
      <c r="A10" s="168"/>
      <c r="B10" s="168"/>
      <c r="C10" s="168"/>
      <c r="D10" s="168"/>
      <c r="E10" s="249" t="s">
        <v>125</v>
      </c>
      <c r="F10" s="250"/>
      <c r="G10" s="251" t="s">
        <v>126</v>
      </c>
      <c r="H10" s="252"/>
      <c r="I10" s="253" t="s">
        <v>129</v>
      </c>
      <c r="J10" s="168"/>
      <c r="K10" s="168"/>
      <c r="L10" s="168"/>
      <c r="M10" s="168"/>
    </row>
    <row r="11" spans="1:13" s="122" customFormat="1" ht="17.25" thickBot="1">
      <c r="A11" s="168"/>
      <c r="B11" s="123" t="s">
        <v>68</v>
      </c>
      <c r="C11" s="123" t="s">
        <v>69</v>
      </c>
      <c r="D11" s="123" t="s">
        <v>70</v>
      </c>
      <c r="E11" s="142" t="s">
        <v>127</v>
      </c>
      <c r="F11" s="142" t="s">
        <v>128</v>
      </c>
      <c r="G11" s="138" t="s">
        <v>127</v>
      </c>
      <c r="H11" s="139" t="s">
        <v>128</v>
      </c>
      <c r="I11" s="254"/>
      <c r="J11" s="203" t="s">
        <v>139</v>
      </c>
      <c r="K11" s="168"/>
      <c r="L11" s="168"/>
      <c r="M11" s="168"/>
    </row>
    <row r="12" spans="1:13" s="122" customFormat="1" ht="16.5">
      <c r="A12" s="168"/>
      <c r="B12" s="124" t="s">
        <v>83</v>
      </c>
      <c r="C12" s="125">
        <f>SUM(C13:C15)</f>
        <v>78755679868</v>
      </c>
      <c r="D12" s="125">
        <f>SUM(D13:D15)</f>
        <v>78755679868</v>
      </c>
      <c r="E12" s="125">
        <f>SUM(E13:E15)</f>
        <v>62514708443.220001</v>
      </c>
      <c r="F12" s="126">
        <f t="shared" ref="F12:F15" si="0">E12/D12</f>
        <v>0.79378031588323539</v>
      </c>
      <c r="G12" s="239">
        <f>+H12*D12</f>
        <v>64158809802.663857</v>
      </c>
      <c r="H12" s="242">
        <f>+'METAS EJEC. SIC - MINCIT'!L5</f>
        <v>0.81465628777757348</v>
      </c>
      <c r="I12" s="236">
        <f>+IF(OR(F12/H12&gt;100%,F12/H12=100%),"CUMPLIDO",F12/H12)</f>
        <v>0.97437450344698273</v>
      </c>
      <c r="J12" s="233">
        <f>IF(+G12-E12&gt;0,G12-E12,"CUMPLIDO")</f>
        <v>1644101359.4438553</v>
      </c>
      <c r="K12" s="168"/>
      <c r="L12" s="168"/>
      <c r="M12" s="168"/>
    </row>
    <row r="13" spans="1:13" s="122" customFormat="1" ht="16.5">
      <c r="A13" s="168"/>
      <c r="B13" s="127" t="s">
        <v>84</v>
      </c>
      <c r="C13" s="128">
        <f>+GETPIVOTDATA("Suma de APR. INICIAL",'TD-EPA'!$A$3,"TIPO","A","CTA","01")</f>
        <v>58763996000</v>
      </c>
      <c r="D13" s="128">
        <f>+GETPIVOTDATA("Suma de APR. VIGENTE",'TD-EPA'!$A$3,"TIPO","A","CTA","01")</f>
        <v>58763996000</v>
      </c>
      <c r="E13" s="128">
        <f>+GETPIVOTDATA("Suma de COMPROMISO",'TD-EPA'!$A$3,"TIPO","A","CTA","01")</f>
        <v>47219172277</v>
      </c>
      <c r="F13" s="129">
        <f t="shared" si="0"/>
        <v>0.80353916498462763</v>
      </c>
      <c r="G13" s="240"/>
      <c r="H13" s="243"/>
      <c r="I13" s="237"/>
      <c r="J13" s="234"/>
      <c r="K13" s="200"/>
      <c r="L13" s="168"/>
      <c r="M13" s="168"/>
    </row>
    <row r="14" spans="1:13" s="122" customFormat="1" ht="16.5">
      <c r="A14" s="168"/>
      <c r="B14" s="127" t="s">
        <v>85</v>
      </c>
      <c r="C14" s="128">
        <f>+GETPIVOTDATA("Suma de APR. INICIAL",'TD-EPA'!$A$3,"TIPO","A","CTA","02")</f>
        <v>12676328868</v>
      </c>
      <c r="D14" s="128">
        <f>+GETPIVOTDATA("Suma de APR. VIGENTE",'TD-EPA'!$A$3,"TIPO","A","CTA","02")</f>
        <v>12676328868</v>
      </c>
      <c r="E14" s="128">
        <f>+GETPIVOTDATA("Suma de COMPROMISO",'TD-EPA'!$A$3,"TIPO","A","CTA","02")</f>
        <v>11945680776.639999</v>
      </c>
      <c r="F14" s="129">
        <f t="shared" si="0"/>
        <v>0.94236122311370119</v>
      </c>
      <c r="G14" s="240"/>
      <c r="H14" s="243"/>
      <c r="I14" s="237"/>
      <c r="J14" s="234"/>
      <c r="K14" s="200"/>
      <c r="L14" s="168"/>
      <c r="M14" s="168"/>
    </row>
    <row r="15" spans="1:13" s="122" customFormat="1" ht="17.25" thickBot="1">
      <c r="A15" s="168"/>
      <c r="B15" s="130" t="s">
        <v>86</v>
      </c>
      <c r="C15" s="131">
        <f>+GETPIVOTDATA("Suma de APR. INICIAL",'TD-EPA'!$A$3,"TIPO","A","CTA","03")+GETPIVOTDATA("Suma de APR. INICIAL",'TD-EPA'!$A$3,"TIPO","A","CTA","08")</f>
        <v>7315355000</v>
      </c>
      <c r="D15" s="131">
        <f>+GETPIVOTDATA("Suma de APR. VIGENTE",'TD-EPA'!$A$3,"TIPO","A","CTA","03")+GETPIVOTDATA("Suma de APR. VIGENTE",'TD-EPA'!$A$3,"TIPO","A","CTA","08")</f>
        <v>7315355000</v>
      </c>
      <c r="E15" s="131">
        <f>+GETPIVOTDATA("Suma de COMPROMISO",'TD-EPA'!$A$3,"TIPO","A","CTA","03")+GETPIVOTDATA("Suma de COMPROMISO",'TD-EPA'!$A$3,"TIPO","A","CTA","08")</f>
        <v>3349855389.5799999</v>
      </c>
      <c r="F15" s="132">
        <f t="shared" si="0"/>
        <v>0.45792109741495796</v>
      </c>
      <c r="G15" s="241"/>
      <c r="H15" s="244"/>
      <c r="I15" s="238"/>
      <c r="J15" s="235"/>
      <c r="K15" s="168"/>
      <c r="L15" s="168"/>
      <c r="M15" s="168"/>
    </row>
    <row r="16" spans="1:13" s="122" customFormat="1" ht="17.25" thickBot="1">
      <c r="A16" s="168"/>
      <c r="B16" s="133" t="s">
        <v>87</v>
      </c>
      <c r="C16" s="134">
        <f>+GETPIVOTDATA("Suma de APR. INICIAL",'TD-EPA'!$A$3,"TIPO","C")</f>
        <v>161536218750</v>
      </c>
      <c r="D16" s="134">
        <f>+GETPIVOTDATA("Suma de APR. VIGENTE",'TD-EPA'!$A$3,"TIPO","C")</f>
        <v>165336840329</v>
      </c>
      <c r="E16" s="134">
        <f>+GETPIVOTDATA("Suma de COMPROMISO",'TD-EPA'!$A$3,"TIPO","C")</f>
        <v>124716523435.08002</v>
      </c>
      <c r="F16" s="135">
        <f>E16/D16</f>
        <v>0.75431781076080473</v>
      </c>
      <c r="G16" s="134">
        <f>+H16*D16</f>
        <v>160451333267</v>
      </c>
      <c r="H16" s="135">
        <f>+'METAS EJEC. SIC - MINCIT'!L8</f>
        <v>0.97045118890455118</v>
      </c>
      <c r="I16" s="165">
        <f>+IF(OR(F16/H16&gt;100%,F16/H16=100%),"CUMPLIDO",F16/H16)</f>
        <v>0.777285678440233</v>
      </c>
      <c r="J16" s="201">
        <f>IF(+G16-E16&gt;0,G16-E16,"CUMPLIDO")</f>
        <v>35734809831.919983</v>
      </c>
      <c r="K16" s="168"/>
      <c r="L16" s="168"/>
      <c r="M16" s="168"/>
    </row>
    <row r="17" spans="1:13" s="122" customFormat="1" ht="17.25" thickBot="1">
      <c r="A17" s="168"/>
      <c r="B17" s="136" t="s">
        <v>60</v>
      </c>
      <c r="C17" s="137">
        <f>C12+C16</f>
        <v>240291898618</v>
      </c>
      <c r="D17" s="137">
        <f>D12+D16</f>
        <v>244092520197</v>
      </c>
      <c r="E17" s="143">
        <f>E12+E16</f>
        <v>187231231878.30002</v>
      </c>
      <c r="F17" s="144">
        <f>E17/D17</f>
        <v>0.76705026326571213</v>
      </c>
      <c r="G17" s="140">
        <f>+G16+G12</f>
        <v>224610143069.66385</v>
      </c>
      <c r="H17" s="141">
        <f>+'METAS EJEC. SIC - MINCIT'!L11</f>
        <v>0.92018445664941928</v>
      </c>
      <c r="I17" s="166">
        <f>+IF(OR(F17/H17&gt;100%,F17/H17=100%),"CUMPLIDO",F17/H17)</f>
        <v>0.83358315577150666</v>
      </c>
      <c r="J17" s="202">
        <f>IF(+G17-E17&gt;0,G17-E17,"CUMPLIDO")</f>
        <v>37378911191.363831</v>
      </c>
      <c r="K17" s="200"/>
      <c r="L17" s="168"/>
      <c r="M17" s="168"/>
    </row>
    <row r="18" spans="1:13" s="167" customFormat="1">
      <c r="H18" s="204"/>
      <c r="I18" s="182"/>
    </row>
    <row r="19" spans="1:13" ht="15" customHeight="1">
      <c r="B19" s="248" t="s">
        <v>130</v>
      </c>
      <c r="C19" s="248"/>
      <c r="D19" s="248"/>
      <c r="E19" s="248"/>
      <c r="F19" s="248"/>
      <c r="G19" s="248"/>
      <c r="H19" s="248"/>
      <c r="I19" s="248"/>
      <c r="K19" s="184"/>
    </row>
    <row r="20" spans="1:13" ht="15.75" customHeight="1" thickBot="1">
      <c r="B20" s="248"/>
      <c r="C20" s="248"/>
      <c r="D20" s="248"/>
      <c r="E20" s="248"/>
      <c r="F20" s="248"/>
      <c r="G20" s="248"/>
      <c r="H20" s="248"/>
      <c r="I20" s="248"/>
      <c r="K20" s="185"/>
      <c r="L20" s="184"/>
    </row>
    <row r="21" spans="1:13" ht="17.25" thickBot="1">
      <c r="B21" s="168"/>
      <c r="C21" s="168"/>
      <c r="D21" s="168"/>
      <c r="E21" s="249" t="s">
        <v>125</v>
      </c>
      <c r="F21" s="250"/>
      <c r="G21" s="251" t="s">
        <v>126</v>
      </c>
      <c r="H21" s="252"/>
      <c r="I21" s="253" t="s">
        <v>129</v>
      </c>
      <c r="L21" s="184"/>
    </row>
    <row r="22" spans="1:13" ht="17.25" thickBot="1">
      <c r="B22" s="123" t="s">
        <v>68</v>
      </c>
      <c r="C22" s="123" t="s">
        <v>69</v>
      </c>
      <c r="D22" s="123" t="s">
        <v>70</v>
      </c>
      <c r="E22" s="142" t="s">
        <v>127</v>
      </c>
      <c r="F22" s="142" t="s">
        <v>128</v>
      </c>
      <c r="G22" s="138" t="s">
        <v>127</v>
      </c>
      <c r="H22" s="139" t="s">
        <v>128</v>
      </c>
      <c r="I22" s="254"/>
      <c r="J22" s="203" t="s">
        <v>139</v>
      </c>
      <c r="L22" s="184"/>
    </row>
    <row r="23" spans="1:13" ht="16.5">
      <c r="B23" s="124" t="s">
        <v>83</v>
      </c>
      <c r="C23" s="125">
        <f>SUM(C24:C26)</f>
        <v>78755679868</v>
      </c>
      <c r="D23" s="125">
        <f>SUM(D24:D26)</f>
        <v>78755679868</v>
      </c>
      <c r="E23" s="125">
        <f>SUM(E24:E26)</f>
        <v>59230668759.220001</v>
      </c>
      <c r="F23" s="126">
        <f>E23/D23</f>
        <v>0.75208123221708867</v>
      </c>
      <c r="G23" s="245">
        <f>+H23*D23</f>
        <v>61489814846.028748</v>
      </c>
      <c r="H23" s="242">
        <f>+'METAS EJEC. SIC - MINCIT'!X5</f>
        <v>0.78076673262284013</v>
      </c>
      <c r="I23" s="236">
        <f>+IF(OR(F23/H23&gt;100%,F23/H23=100%),"CUMPLIDO",F23/H23)</f>
        <v>0.96325983266552884</v>
      </c>
      <c r="J23" s="233">
        <f>IF(+G23-E23&gt;0,G23-E23,"CUMPLIDO")</f>
        <v>2259146086.8087463</v>
      </c>
      <c r="K23" s="182"/>
    </row>
    <row r="24" spans="1:13" ht="16.5">
      <c r="B24" s="127" t="s">
        <v>84</v>
      </c>
      <c r="C24" s="128">
        <f>+GETPIVOTDATA("Suma de APR. INICIAL",'TD-EPA'!$A$3,"TIPO","A","CTA","01")</f>
        <v>58763996000</v>
      </c>
      <c r="D24" s="128">
        <f>+GETPIVOTDATA("Suma de APR. VIGENTE",'TD-EPA'!$A$3,"TIPO","A","CTA","01")</f>
        <v>58763996000</v>
      </c>
      <c r="E24" s="128">
        <f>+GETPIVOTDATA("Suma de OBLIGACION",'TD-EPA'!$A$3,"TIPO","A","CTA","01")</f>
        <v>46867623571</v>
      </c>
      <c r="F24" s="129">
        <f t="shared" ref="F24:F28" si="1">E24/D24</f>
        <v>0.79755678240465466</v>
      </c>
      <c r="G24" s="246"/>
      <c r="H24" s="243"/>
      <c r="I24" s="237"/>
      <c r="J24" s="234"/>
    </row>
    <row r="25" spans="1:13" ht="16.5">
      <c r="B25" s="127" t="s">
        <v>85</v>
      </c>
      <c r="C25" s="128">
        <f>+GETPIVOTDATA("Suma de APR. INICIAL",'TD-EPA'!$A$3,"TIPO","A","CTA","02")</f>
        <v>12676328868</v>
      </c>
      <c r="D25" s="128">
        <f>+GETPIVOTDATA("Suma de APR. VIGENTE",'TD-EPA'!$A$3,"TIPO","A","CTA","02")</f>
        <v>12676328868</v>
      </c>
      <c r="E25" s="128">
        <f>+GETPIVOTDATA("Suma de OBLIGACION",'TD-EPA'!$A$3,"TIPO","A","CTA","02")</f>
        <v>9100655079.5100002</v>
      </c>
      <c r="F25" s="129">
        <f t="shared" si="1"/>
        <v>0.7179251322899648</v>
      </c>
      <c r="G25" s="246"/>
      <c r="H25" s="243"/>
      <c r="I25" s="237"/>
      <c r="J25" s="234"/>
    </row>
    <row r="26" spans="1:13" ht="17.25" thickBot="1">
      <c r="B26" s="130" t="s">
        <v>86</v>
      </c>
      <c r="C26" s="131">
        <f>+GETPIVOTDATA("Suma de APR. INICIAL",'TD-EPA'!$A$3,"TIPO","A","CTA","03")+GETPIVOTDATA("Suma de APR. INICIAL",'TD-EPA'!$A$3,"TIPO","A","CTA","08")</f>
        <v>7315355000</v>
      </c>
      <c r="D26" s="131">
        <f>+GETPIVOTDATA("Suma de APR. VIGENTE",'TD-EPA'!$A$3,"TIPO","A","CTA","03")+GETPIVOTDATA("Suma de APR. VIGENTE",'TD-EPA'!$A$3,"TIPO","A","CTA","08")</f>
        <v>7315355000</v>
      </c>
      <c r="E26" s="131">
        <f>+GETPIVOTDATA("Suma de OBLIGACION",'TD-EPA'!$A$3,"TIPO","A","CTA","03")+GETPIVOTDATA("Suma de OBLIGACION",'TD-EPA'!$A$3,"TIPO","A","CTA","08")</f>
        <v>3262390108.71</v>
      </c>
      <c r="F26" s="132">
        <f>E26/D26</f>
        <v>0.44596470146834982</v>
      </c>
      <c r="G26" s="247"/>
      <c r="H26" s="244"/>
      <c r="I26" s="238"/>
      <c r="J26" s="235"/>
    </row>
    <row r="27" spans="1:13" ht="17.25" thickBot="1">
      <c r="B27" s="133" t="s">
        <v>87</v>
      </c>
      <c r="C27" s="134">
        <f>+GETPIVOTDATA("Suma de APR. INICIAL",'TD-EPA'!$A$3,"TIPO","C")</f>
        <v>161536218750</v>
      </c>
      <c r="D27" s="134">
        <f>+GETPIVOTDATA("Suma de APR. VIGENTE",'TD-EPA'!$A$3,"TIPO","C")</f>
        <v>165336840329</v>
      </c>
      <c r="E27" s="134">
        <f>+GETPIVOTDATA("Suma de OBLIGACION",'TD-EPA'!$A$3,"TIPO","C")</f>
        <v>86689584024.970001</v>
      </c>
      <c r="F27" s="135">
        <f t="shared" si="1"/>
        <v>0.52432103971787758</v>
      </c>
      <c r="G27" s="134">
        <f t="shared" ref="G27" si="2">+H27*D27</f>
        <v>101622710498</v>
      </c>
      <c r="H27" s="135">
        <f>+'METAS EJEC. SIC - MINCIT'!X8</f>
        <v>0.61464045336649287</v>
      </c>
      <c r="I27" s="165">
        <f>+IF(OR(F27/H27&gt;100%,F27/H27=100%),"CUMPLIDO",F27/H27)</f>
        <v>0.85305325551886457</v>
      </c>
      <c r="J27" s="201">
        <f>IF(+G27-E27&gt;0,G27-E27,"CUMPLIDO")</f>
        <v>14933126473.029999</v>
      </c>
      <c r="K27" s="185"/>
    </row>
    <row r="28" spans="1:13" ht="17.25" thickBot="1">
      <c r="B28" s="136" t="s">
        <v>60</v>
      </c>
      <c r="C28" s="137">
        <f>C23+C27</f>
        <v>240291898618</v>
      </c>
      <c r="D28" s="137">
        <f>D23+D27</f>
        <v>244092520197</v>
      </c>
      <c r="E28" s="143">
        <f>E23+E27</f>
        <v>145920252784.19</v>
      </c>
      <c r="F28" s="144">
        <f t="shared" si="1"/>
        <v>0.59780714569386229</v>
      </c>
      <c r="G28" s="140">
        <f>+G23+G27</f>
        <v>163112525344.02875</v>
      </c>
      <c r="H28" s="141">
        <f>+'METAS EJEC. SIC - MINCIT'!X11</f>
        <v>0.66824057210923693</v>
      </c>
      <c r="I28" s="166">
        <f>+IF(OR(F28/H28&gt;100%,F28/H28=100%),"CUMPLIDO",F28/H28)</f>
        <v>0.89459869790147828</v>
      </c>
      <c r="J28" s="202">
        <f>IF(+G28-E28&gt;0,G28-E28,"CUMPLIDO")</f>
        <v>17192272559.838745</v>
      </c>
      <c r="K28" s="185"/>
    </row>
    <row r="29" spans="1:13" s="167" customFormat="1">
      <c r="I29" s="223"/>
    </row>
    <row r="30" spans="1:13" s="167" customFormat="1">
      <c r="I30" s="182"/>
    </row>
    <row r="31" spans="1:13" s="167" customFormat="1"/>
    <row r="32" spans="1:13" s="167" customFormat="1"/>
    <row r="33" s="167" customFormat="1"/>
    <row r="34" s="167" customFormat="1"/>
    <row r="35" s="167" customFormat="1"/>
    <row r="36" s="167" customFormat="1"/>
    <row r="37" s="167" customFormat="1"/>
    <row r="38" s="167" customFormat="1"/>
    <row r="39" s="167" customFormat="1"/>
    <row r="40" s="167" customFormat="1"/>
    <row r="41" s="167" customFormat="1"/>
    <row r="42" s="167" customFormat="1"/>
    <row r="43" s="167" customFormat="1"/>
    <row r="44" s="167" customFormat="1"/>
    <row r="45" s="167" customFormat="1"/>
    <row r="46" s="167" customFormat="1"/>
    <row r="47" s="167" customFormat="1"/>
    <row r="48" s="167" customFormat="1"/>
    <row r="49" s="167" customFormat="1"/>
    <row r="50" s="167" customFormat="1"/>
    <row r="51" s="167" customFormat="1"/>
    <row r="52" s="167" customFormat="1"/>
    <row r="53" s="167" customFormat="1"/>
    <row r="54" s="167" customFormat="1"/>
    <row r="55" s="167" customFormat="1"/>
    <row r="56" s="167" customFormat="1"/>
    <row r="57" s="167" customFormat="1"/>
    <row r="58" s="167" customFormat="1"/>
    <row r="59" s="167" customFormat="1"/>
    <row r="60" s="167" customFormat="1"/>
    <row r="61" s="167" customFormat="1"/>
    <row r="62" s="167" customFormat="1"/>
    <row r="63" s="167" customFormat="1"/>
    <row r="64" s="167" customFormat="1"/>
    <row r="65" s="167" customFormat="1"/>
    <row r="66" s="167" customFormat="1"/>
    <row r="67" s="167" customFormat="1"/>
    <row r="68" s="167" customFormat="1"/>
    <row r="69" s="167" customFormat="1"/>
    <row r="70" s="167" customFormat="1"/>
    <row r="71" s="167" customFormat="1"/>
    <row r="72" s="167" customFormat="1"/>
  </sheetData>
  <sheetProtection password="E11B" sheet="1" objects="1" scenarios="1"/>
  <mergeCells count="16">
    <mergeCell ref="B8:I9"/>
    <mergeCell ref="I10:I11"/>
    <mergeCell ref="I21:I22"/>
    <mergeCell ref="I12:I15"/>
    <mergeCell ref="E10:F10"/>
    <mergeCell ref="G10:H10"/>
    <mergeCell ref="J12:J15"/>
    <mergeCell ref="J23:J26"/>
    <mergeCell ref="I23:I26"/>
    <mergeCell ref="G12:G15"/>
    <mergeCell ref="H12:H15"/>
    <mergeCell ref="G23:G26"/>
    <mergeCell ref="H23:H26"/>
    <mergeCell ref="B19:I20"/>
    <mergeCell ref="E21:F21"/>
    <mergeCell ref="G21:H21"/>
  </mergeCells>
  <conditionalFormatting sqref="I12:J17 I23:I28">
    <cfRule type="cellIs" dxfId="48" priority="13" operator="equal">
      <formula>"CUMPLIDO"</formula>
    </cfRule>
    <cfRule type="cellIs" dxfId="47" priority="14" operator="between">
      <formula>0.95</formula>
      <formula>1</formula>
    </cfRule>
    <cfRule type="cellIs" dxfId="46" priority="15" operator="between">
      <formula>0.85</formula>
      <formula>0.95</formula>
    </cfRule>
    <cfRule type="cellIs" dxfId="45" priority="16" operator="lessThan">
      <formula>0.85</formula>
    </cfRule>
  </conditionalFormatting>
  <conditionalFormatting sqref="J27:J28">
    <cfRule type="cellIs" dxfId="44" priority="5" operator="equal">
      <formula>"CUMPLIDO"</formula>
    </cfRule>
    <cfRule type="cellIs" dxfId="43" priority="6" operator="between">
      <formula>0.95</formula>
      <formula>1</formula>
    </cfRule>
    <cfRule type="cellIs" dxfId="42" priority="7" operator="between">
      <formula>0.85</formula>
      <formula>0.95</formula>
    </cfRule>
    <cfRule type="cellIs" dxfId="41" priority="8" operator="lessThan">
      <formula>0.85</formula>
    </cfRule>
  </conditionalFormatting>
  <conditionalFormatting sqref="J23:J26">
    <cfRule type="cellIs" dxfId="40" priority="1" operator="equal">
      <formula>"CUMPLIDO"</formula>
    </cfRule>
    <cfRule type="cellIs" dxfId="39" priority="2" operator="between">
      <formula>0.95</formula>
      <formula>1</formula>
    </cfRule>
    <cfRule type="cellIs" dxfId="38" priority="3" operator="between">
      <formula>0.85</formula>
      <formula>0.95</formula>
    </cfRule>
    <cfRule type="cellIs" dxfId="37" priority="4" operator="lessThan">
      <formula>0.85</formula>
    </cfRule>
  </conditionalFormatting>
  <pageMargins left="0.7" right="0.7" top="0.75" bottom="0.75" header="0.3" footer="0.3"/>
  <pageSetup paperSize="5" scale="87"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9" tint="-0.249977111117893"/>
  </sheetPr>
  <dimension ref="A1:M42"/>
  <sheetViews>
    <sheetView topLeftCell="A7" workbookViewId="0">
      <selection activeCell="E16" sqref="E16"/>
    </sheetView>
  </sheetViews>
  <sheetFormatPr baseColWidth="10" defaultRowHeight="15"/>
  <cols>
    <col min="1" max="1" width="28.28515625" style="7" customWidth="1"/>
    <col min="2" max="2" width="20.7109375" style="7" customWidth="1"/>
    <col min="3" max="5" width="20.85546875" style="7" customWidth="1"/>
    <col min="6" max="6" width="20.7109375" style="7" customWidth="1"/>
    <col min="7" max="7" width="10.7109375" style="7" customWidth="1"/>
    <col min="8" max="8" width="20.7109375" style="7" customWidth="1"/>
    <col min="9" max="9" width="10.7109375" style="7" customWidth="1"/>
    <col min="10" max="10" width="20.7109375" style="7" customWidth="1"/>
    <col min="11" max="11" width="17.140625" style="7" bestFit="1" customWidth="1"/>
    <col min="12" max="12" width="20.7109375" style="7" customWidth="1"/>
    <col min="13" max="13" width="10.7109375" style="7" customWidth="1"/>
    <col min="14" max="14" width="20.7109375" style="7" customWidth="1"/>
    <col min="15" max="15" width="10.7109375" style="7" customWidth="1"/>
    <col min="16" max="16" width="20.7109375" style="7" customWidth="1"/>
    <col min="17" max="17" width="10.7109375" style="7" customWidth="1"/>
    <col min="18" max="18" width="20.7109375" style="7" customWidth="1"/>
    <col min="19" max="19" width="10.7109375" style="7" customWidth="1"/>
    <col min="20" max="16384" width="11.42578125" style="7"/>
  </cols>
  <sheetData>
    <row r="1" spans="1:13">
      <c r="A1" s="6" t="s">
        <v>66</v>
      </c>
    </row>
    <row r="2" spans="1:13">
      <c r="A2" s="6" t="s">
        <v>67</v>
      </c>
    </row>
    <row r="3" spans="1:13">
      <c r="A3" s="6" t="s">
        <v>33</v>
      </c>
    </row>
    <row r="4" spans="1:13">
      <c r="A4" s="6"/>
      <c r="B4" s="8"/>
    </row>
    <row r="5" spans="1:13" ht="15.75" thickBot="1"/>
    <row r="6" spans="1:13" ht="15.75" thickBot="1">
      <c r="A6" s="9" t="s">
        <v>68</v>
      </c>
      <c r="B6" s="9" t="s">
        <v>69</v>
      </c>
      <c r="C6" s="9" t="s">
        <v>70</v>
      </c>
      <c r="D6" s="10" t="s">
        <v>71</v>
      </c>
      <c r="E6" s="10" t="s">
        <v>72</v>
      </c>
      <c r="F6" s="11" t="s">
        <v>26</v>
      </c>
      <c r="G6" s="11" t="s">
        <v>73</v>
      </c>
      <c r="H6" s="12" t="s">
        <v>65</v>
      </c>
      <c r="I6" s="12" t="s">
        <v>74</v>
      </c>
      <c r="J6" s="13" t="s">
        <v>29</v>
      </c>
      <c r="K6" s="13" t="s">
        <v>75</v>
      </c>
      <c r="L6" s="14" t="s">
        <v>31</v>
      </c>
      <c r="M6" s="14" t="s">
        <v>76</v>
      </c>
    </row>
    <row r="7" spans="1:13">
      <c r="A7" s="18" t="s">
        <v>83</v>
      </c>
      <c r="B7" s="19">
        <f>SUM(B8:B10)</f>
        <v>78755679868</v>
      </c>
      <c r="C7" s="19">
        <f>SUM(C8:C10)</f>
        <v>78755679868</v>
      </c>
      <c r="D7" s="19">
        <f>SUM(D8:D10)</f>
        <v>1602947000</v>
      </c>
      <c r="E7" s="20">
        <f>D7/C7</f>
        <v>2.0353414543391037E-2</v>
      </c>
      <c r="F7" s="19">
        <f t="shared" ref="F7:J7" si="0">SUM(F8:F10)</f>
        <v>74248283889.300003</v>
      </c>
      <c r="G7" s="20">
        <f t="shared" ref="G7:G12" si="1">F7/C7</f>
        <v>0.942767353589548</v>
      </c>
      <c r="H7" s="19">
        <f t="shared" si="0"/>
        <v>62511804587.839996</v>
      </c>
      <c r="I7" s="20">
        <f>H7/C7</f>
        <v>0.79374344418858589</v>
      </c>
      <c r="J7" s="19">
        <f t="shared" si="0"/>
        <v>59227764903.840004</v>
      </c>
      <c r="K7" s="20">
        <f>J7/C7</f>
        <v>0.75204436052243928</v>
      </c>
      <c r="L7" s="19">
        <f>SUM(L8:L10)</f>
        <v>59197964181.840004</v>
      </c>
      <c r="M7" s="20">
        <f>L7/C7</f>
        <v>0.75166596594759783</v>
      </c>
    </row>
    <row r="8" spans="1:13" ht="16.5">
      <c r="A8" s="21" t="s">
        <v>84</v>
      </c>
      <c r="B8" s="128">
        <f>+GETPIVOTDATA("Suma de APR. INICIAL",'TD-EPA'!$A$3,"TIPO","A","CTA","01")</f>
        <v>58763996000</v>
      </c>
      <c r="C8" s="128">
        <f>+GETPIVOTDATA("Suma de APR. VIGENTE",'TD-EPA'!$A$3,"TIPO","A","CTA","01")</f>
        <v>58763996000</v>
      </c>
      <c r="D8" s="22">
        <f>+GETPIVOTDATA("Suma de APR BLOQUEADA",'TD-EPA'!$A$3,"TIPO","A","CTA","01")</f>
        <v>156747000</v>
      </c>
      <c r="E8" s="23">
        <f t="shared" ref="E8:E12" si="2">D8/C8</f>
        <v>2.6673985887549242E-3</v>
      </c>
      <c r="F8" s="22">
        <f>+GETPIVOTDATA("Suma de CDP",'TD-EPA'!$A$3,"TIPO","A","CTA","01")</f>
        <v>58401399000</v>
      </c>
      <c r="G8" s="23">
        <f t="shared" si="1"/>
        <v>0.9938296061418288</v>
      </c>
      <c r="H8" s="22">
        <f>+GETPIVOTDATA("Suma de COMPROMISO",'TD-EPA'!$A$3,"TIPO","A","CTA","01")</f>
        <v>47219172277</v>
      </c>
      <c r="I8" s="23">
        <f t="shared" ref="I8:I12" si="3">H8/C8</f>
        <v>0.80353916498462763</v>
      </c>
      <c r="J8" s="22">
        <f>+GETPIVOTDATA("Suma de OBLIGACION",'TD-EPA'!$A$3,"TIPO","A","CTA","01")</f>
        <v>46867623571</v>
      </c>
      <c r="K8" s="23">
        <f t="shared" ref="K8:K12" si="4">J8/C8</f>
        <v>0.79755678240465466</v>
      </c>
      <c r="L8" s="22">
        <f>+GETPIVOTDATA("Suma de PAGOS",'TD-EPA'!$A$3,"TIPO","A","CTA","01")</f>
        <v>46867623571</v>
      </c>
      <c r="M8" s="23">
        <f t="shared" ref="M8:M12" si="5">L8/C8</f>
        <v>0.79755678240465466</v>
      </c>
    </row>
    <row r="9" spans="1:13" ht="16.5">
      <c r="A9" s="21" t="s">
        <v>85</v>
      </c>
      <c r="B9" s="128">
        <f>+GETPIVOTDATA("Suma de APR. INICIAL",'TD-EPA'!$A$3,"TIPO","A","CTA","02")</f>
        <v>12676328868</v>
      </c>
      <c r="C9" s="128">
        <f>+GETPIVOTDATA("Suma de APR. VIGENTE",'TD-EPA'!$A$3,"TIPO","A","CTA","02")</f>
        <v>12676328868</v>
      </c>
      <c r="D9" s="22">
        <f>+GETPIVOTDATA("Suma de APR BLOQUEADA",'TD-EPA'!$A$3,"TIPO","A","CTA","02")</f>
        <v>0</v>
      </c>
      <c r="E9" s="23">
        <f t="shared" si="2"/>
        <v>0</v>
      </c>
      <c r="F9" s="22">
        <f>+GETPIVOTDATA("Suma de CDP",'TD-EPA'!$A$3,"TIPO","A","CTA","02")</f>
        <v>12151114692.799999</v>
      </c>
      <c r="G9" s="23">
        <f t="shared" si="1"/>
        <v>0.95856732807509859</v>
      </c>
      <c r="H9" s="22">
        <f>+GETPIVOTDATA("Suma de COMPROMISO",'TD-EPA'!$A$3,"TIPO","A","CTA","02")</f>
        <v>11945680776.639999</v>
      </c>
      <c r="I9" s="23">
        <f t="shared" si="3"/>
        <v>0.94236122311370119</v>
      </c>
      <c r="J9" s="22">
        <f>+GETPIVOTDATA("Suma de OBLIGACION",'TD-EPA'!$A$3,"TIPO","A","CTA","02")</f>
        <v>9100655079.5100002</v>
      </c>
      <c r="K9" s="23">
        <f t="shared" si="4"/>
        <v>0.7179251322899648</v>
      </c>
      <c r="L9" s="22">
        <f>+GETPIVOTDATA("Suma de PAGOS",'TD-EPA'!$A$3,"TIPO","A","CTA","02")</f>
        <v>9095527229.5100002</v>
      </c>
      <c r="M9" s="23">
        <f t="shared" si="5"/>
        <v>0.71752061059812511</v>
      </c>
    </row>
    <row r="10" spans="1:13" ht="17.25" thickBot="1">
      <c r="A10" s="25" t="s">
        <v>86</v>
      </c>
      <c r="B10" s="131">
        <f>+GETPIVOTDATA("Suma de APR. INICIAL",'TD-EPA'!$A$3,"TIPO","A","CTA","03")+GETPIVOTDATA("Suma de APR. INICIAL",'TD-EPA'!$A$3,"TIPO","A","CTA","08")</f>
        <v>7315355000</v>
      </c>
      <c r="C10" s="131">
        <f>+GETPIVOTDATA("Suma de APR. VIGENTE",'TD-EPA'!$A$3,"TIPO","A","CTA","03")+GETPIVOTDATA("Suma de APR. VIGENTE",'TD-EPA'!$A$3,"TIPO","A","CTA","08")</f>
        <v>7315355000</v>
      </c>
      <c r="D10" s="26">
        <f>+GETPIVOTDATA("Suma de APR BLOQUEADA",'TD-EPA'!$A$3,"TIPO","A","CTA","03")</f>
        <v>1446200000</v>
      </c>
      <c r="E10" s="27">
        <f t="shared" si="2"/>
        <v>0.19769375512193188</v>
      </c>
      <c r="F10" s="26">
        <f>+GETPIVOTDATA("Suma de CDP",'TD-EPA'!$A$3,"TIPO","A","CTA","03")</f>
        <v>3695770196.5</v>
      </c>
      <c r="G10" s="27">
        <f t="shared" si="1"/>
        <v>0.50520722459812273</v>
      </c>
      <c r="H10" s="26">
        <f>+GETPIVOTDATA("Suma de COMPROMISO",'TD-EPA'!$A$3,"TIPO","A","CTA","03")</f>
        <v>3346951534.1999998</v>
      </c>
      <c r="I10" s="27">
        <f t="shared" si="3"/>
        <v>0.45752414396840618</v>
      </c>
      <c r="J10" s="26">
        <f>+GETPIVOTDATA("Suma de OBLIGACION",'TD-EPA'!$A$3,"TIPO","A","CTA","03")</f>
        <v>3259486253.3299999</v>
      </c>
      <c r="K10" s="27">
        <f t="shared" si="4"/>
        <v>0.44556774802179799</v>
      </c>
      <c r="L10" s="26">
        <f>+GETPIVOTDATA("Suma de PAGOS",'TD-EPA'!$A$3,"TIPO","A","CTA","03")</f>
        <v>3234813381.3299999</v>
      </c>
      <c r="M10" s="27">
        <f t="shared" si="5"/>
        <v>0.44219499687028174</v>
      </c>
    </row>
    <row r="11" spans="1:13" ht="17.25" thickBot="1">
      <c r="A11" s="29" t="s">
        <v>87</v>
      </c>
      <c r="B11" s="134">
        <f>+GETPIVOTDATA("Suma de APR. INICIAL",'TD-EPA'!$A$3,"TIPO","C")</f>
        <v>161536218750</v>
      </c>
      <c r="C11" s="134">
        <f>+GETPIVOTDATA("Suma de APR. VIGENTE",'TD-EPA'!$A$3,"TIPO","C")</f>
        <v>165336840329</v>
      </c>
      <c r="D11" s="30">
        <f>+GETPIVOTDATA("Suma de APR BLOQUEADA",'TD-EPA'!$A$3,"TIPO","C")</f>
        <v>37022819178</v>
      </c>
      <c r="E11" s="31">
        <f t="shared" si="2"/>
        <v>0.22392359200967635</v>
      </c>
      <c r="F11" s="30">
        <f>+GETPIVOTDATA("Suma de CDP",'TD-EPA'!$A$3,"TIPO","C")</f>
        <v>127124038667.31999</v>
      </c>
      <c r="G11" s="31">
        <f t="shared" si="1"/>
        <v>0.76887908595784682</v>
      </c>
      <c r="H11" s="30">
        <f>+GETPIVOTDATA("Suma de COMPROMISO",'TD-EPA'!$A$3,"TIPO","C")</f>
        <v>124716523435.08002</v>
      </c>
      <c r="I11" s="31">
        <f t="shared" si="3"/>
        <v>0.75431781076080473</v>
      </c>
      <c r="J11" s="30">
        <f>+GETPIVOTDATA("Suma de OBLIGACION",'TD-EPA'!$A$3,"TIPO","C")</f>
        <v>86689584024.970001</v>
      </c>
      <c r="K11" s="31">
        <f t="shared" si="4"/>
        <v>0.52432103971787758</v>
      </c>
      <c r="L11" s="30">
        <f>+GETPIVOTDATA("Suma de PAGOS",'TD-EPA'!$A$3,"TIPO","C")</f>
        <v>86487559322.970001</v>
      </c>
      <c r="M11" s="31">
        <f t="shared" si="5"/>
        <v>0.5230991420355583</v>
      </c>
    </row>
    <row r="12" spans="1:13" ht="15.75" thickBot="1">
      <c r="A12" s="33" t="s">
        <v>60</v>
      </c>
      <c r="B12" s="34">
        <f>B7+B11</f>
        <v>240291898618</v>
      </c>
      <c r="C12" s="34">
        <f>C7+C11</f>
        <v>244092520197</v>
      </c>
      <c r="D12" s="35">
        <f t="shared" ref="D12:L12" si="6">D7+D11</f>
        <v>38625766178</v>
      </c>
      <c r="E12" s="36">
        <f t="shared" si="2"/>
        <v>0.15824231789989412</v>
      </c>
      <c r="F12" s="37">
        <f t="shared" si="6"/>
        <v>201372322556.62</v>
      </c>
      <c r="G12" s="38">
        <f t="shared" si="1"/>
        <v>0.8249835857079858</v>
      </c>
      <c r="H12" s="39">
        <f t="shared" si="6"/>
        <v>187228328022.92001</v>
      </c>
      <c r="I12" s="40">
        <f t="shared" si="3"/>
        <v>0.76703836673001469</v>
      </c>
      <c r="J12" s="41">
        <f t="shared" si="6"/>
        <v>145917348928.81</v>
      </c>
      <c r="K12" s="42">
        <f t="shared" si="4"/>
        <v>0.59779524915816484</v>
      </c>
      <c r="L12" s="43">
        <f t="shared" si="6"/>
        <v>145685523504.81</v>
      </c>
      <c r="M12" s="44">
        <f t="shared" si="5"/>
        <v>0.59684550508647882</v>
      </c>
    </row>
    <row r="13" spans="1:13" ht="15.75" thickBot="1"/>
    <row r="14" spans="1:13" ht="15.75" thickBot="1">
      <c r="A14" s="9" t="s">
        <v>68</v>
      </c>
      <c r="B14" s="9" t="s">
        <v>69</v>
      </c>
      <c r="C14" s="9" t="s">
        <v>70</v>
      </c>
      <c r="D14" s="10" t="s">
        <v>71</v>
      </c>
      <c r="E14" s="10" t="s">
        <v>72</v>
      </c>
      <c r="F14" s="15" t="s">
        <v>77</v>
      </c>
      <c r="G14" s="15" t="s">
        <v>78</v>
      </c>
      <c r="H14" s="16" t="s">
        <v>79</v>
      </c>
      <c r="I14" s="16" t="s">
        <v>80</v>
      </c>
      <c r="J14" s="17" t="s">
        <v>81</v>
      </c>
      <c r="K14" s="17" t="s">
        <v>82</v>
      </c>
    </row>
    <row r="15" spans="1:13">
      <c r="A15" s="18" t="s">
        <v>83</v>
      </c>
      <c r="B15" s="19">
        <f>SUM(B16:B18)</f>
        <v>78755679868</v>
      </c>
      <c r="C15" s="19">
        <f>SUM(C16:C18)</f>
        <v>78755679868</v>
      </c>
      <c r="D15" s="19">
        <f>SUM(D16:D18)</f>
        <v>1602947000</v>
      </c>
      <c r="E15" s="20">
        <f>D15/C15</f>
        <v>2.0353414543391037E-2</v>
      </c>
      <c r="F15" s="19">
        <f t="shared" ref="F15" si="7">SUM(F16:F18)</f>
        <v>4507395978.7000008</v>
      </c>
      <c r="G15" s="20">
        <f t="shared" ref="G15:G20" si="8">F15/C7</f>
        <v>5.7232646410452045E-2</v>
      </c>
      <c r="H15" s="19">
        <f t="shared" ref="H15" si="9">SUM(H16:H18)</f>
        <v>16243875280.16</v>
      </c>
      <c r="I15" s="20">
        <f t="shared" ref="I15:I20" si="10">H15/C7</f>
        <v>0.20625655581141406</v>
      </c>
      <c r="J15" s="19">
        <f t="shared" ref="J15" si="11">SUM(J16:J18)</f>
        <v>19527914964.16</v>
      </c>
      <c r="K15" s="20">
        <f t="shared" ref="K15:K20" si="12">J15/C7</f>
        <v>0.24795563947756077</v>
      </c>
    </row>
    <row r="16" spans="1:13" ht="16.5">
      <c r="A16" s="21" t="s">
        <v>84</v>
      </c>
      <c r="B16" s="128">
        <f>+GETPIVOTDATA("Suma de APR. INICIAL",'TD-EPA'!$A$3,"TIPO","A","CTA","01")</f>
        <v>58763996000</v>
      </c>
      <c r="C16" s="128">
        <f>+GETPIVOTDATA("Suma de APR. VIGENTE",'TD-EPA'!$A$3,"TIPO","A","CTA","01")</f>
        <v>58763996000</v>
      </c>
      <c r="D16" s="22">
        <f>+GETPIVOTDATA("Suma de APR BLOQUEADA",'TD-EPA'!$A$3,"TIPO","A","CTA","01")</f>
        <v>156747000</v>
      </c>
      <c r="E16" s="23">
        <f t="shared" ref="E16:E20" si="13">D16/C16</f>
        <v>2.6673985887549242E-3</v>
      </c>
      <c r="F16" s="24">
        <f>C8-F8</f>
        <v>362597000</v>
      </c>
      <c r="G16" s="23">
        <f t="shared" si="8"/>
        <v>6.1703938581712517E-3</v>
      </c>
      <c r="H16" s="24">
        <f>C8-H8</f>
        <v>11544823723</v>
      </c>
      <c r="I16" s="23">
        <f t="shared" si="10"/>
        <v>0.19646083501537234</v>
      </c>
      <c r="J16" s="24">
        <f>C8-J8</f>
        <v>11896372429</v>
      </c>
      <c r="K16" s="23">
        <f t="shared" si="12"/>
        <v>0.20244321759534528</v>
      </c>
    </row>
    <row r="17" spans="1:11" ht="16.5">
      <c r="A17" s="21" t="s">
        <v>85</v>
      </c>
      <c r="B17" s="128">
        <f>+GETPIVOTDATA("Suma de APR. INICIAL",'TD-EPA'!$A$3,"TIPO","A","CTA","02")</f>
        <v>12676328868</v>
      </c>
      <c r="C17" s="128">
        <f>+GETPIVOTDATA("Suma de APR. VIGENTE",'TD-EPA'!$A$3,"TIPO","A","CTA","02")</f>
        <v>12676328868</v>
      </c>
      <c r="D17" s="22">
        <f>+GETPIVOTDATA("Suma de APR BLOQUEADA",'TD-EPA'!$A$3,"TIPO","A","CTA","02")</f>
        <v>0</v>
      </c>
      <c r="E17" s="23">
        <f t="shared" si="13"/>
        <v>0</v>
      </c>
      <c r="F17" s="24">
        <f>C9-F9</f>
        <v>525214175.20000076</v>
      </c>
      <c r="G17" s="23">
        <f t="shared" si="8"/>
        <v>4.1432671924901403E-2</v>
      </c>
      <c r="H17" s="24">
        <f>C9-H9</f>
        <v>730648091.36000061</v>
      </c>
      <c r="I17" s="23">
        <f t="shared" si="10"/>
        <v>5.7638776886298801E-2</v>
      </c>
      <c r="J17" s="24">
        <f>C9-J9</f>
        <v>3575673788.4899998</v>
      </c>
      <c r="K17" s="23">
        <f t="shared" si="12"/>
        <v>0.28207486771003515</v>
      </c>
    </row>
    <row r="18" spans="1:11" ht="17.25" thickBot="1">
      <c r="A18" s="25" t="s">
        <v>86</v>
      </c>
      <c r="B18" s="131">
        <f>+GETPIVOTDATA("Suma de APR. INICIAL",'TD-EPA'!$A$3,"TIPO","A","CTA","03")+GETPIVOTDATA("Suma de APR. INICIAL",'TD-EPA'!$A$3,"TIPO","A","CTA","08")</f>
        <v>7315355000</v>
      </c>
      <c r="C18" s="131">
        <f>+GETPIVOTDATA("Suma de APR. VIGENTE",'TD-EPA'!$A$3,"TIPO","A","CTA","03")+GETPIVOTDATA("Suma de APR. VIGENTE",'TD-EPA'!$A$3,"TIPO","A","CTA","08")</f>
        <v>7315355000</v>
      </c>
      <c r="D18" s="26">
        <f>+GETPIVOTDATA("Suma de APR BLOQUEADA",'TD-EPA'!$A$3,"TIPO","A","CTA","03")</f>
        <v>1446200000</v>
      </c>
      <c r="E18" s="27">
        <f t="shared" si="13"/>
        <v>0.19769375512193188</v>
      </c>
      <c r="F18" s="28">
        <f>C10-F10</f>
        <v>3619584803.5</v>
      </c>
      <c r="G18" s="27">
        <f t="shared" si="8"/>
        <v>0.49479277540187727</v>
      </c>
      <c r="H18" s="28">
        <f>C10-H10</f>
        <v>3968403465.8000002</v>
      </c>
      <c r="I18" s="27">
        <f t="shared" si="10"/>
        <v>0.54247585603159387</v>
      </c>
      <c r="J18" s="28">
        <f>C10-J10</f>
        <v>4055868746.6700001</v>
      </c>
      <c r="K18" s="27">
        <f t="shared" si="12"/>
        <v>0.55443225197820201</v>
      </c>
    </row>
    <row r="19" spans="1:11" ht="17.25" thickBot="1">
      <c r="A19" s="29" t="s">
        <v>87</v>
      </c>
      <c r="B19" s="134">
        <f>+GETPIVOTDATA("Suma de APR. INICIAL",'TD-EPA'!$A$3,"TIPO","C")</f>
        <v>161536218750</v>
      </c>
      <c r="C19" s="134">
        <f>+GETPIVOTDATA("Suma de APR. VIGENTE",'TD-EPA'!$A$3,"TIPO","C")</f>
        <v>165336840329</v>
      </c>
      <c r="D19" s="30">
        <f>+GETPIVOTDATA("Suma de APR BLOQUEADA",'TD-EPA'!$A$3,"TIPO","C")</f>
        <v>37022819178</v>
      </c>
      <c r="E19" s="31">
        <f t="shared" si="13"/>
        <v>0.22392359200967635</v>
      </c>
      <c r="F19" s="32">
        <f>C11-F11</f>
        <v>38212801661.680008</v>
      </c>
      <c r="G19" s="31">
        <f t="shared" si="8"/>
        <v>0.23112091404215315</v>
      </c>
      <c r="H19" s="32">
        <f>C11-H11</f>
        <v>40620316893.919983</v>
      </c>
      <c r="I19" s="31">
        <f t="shared" si="10"/>
        <v>0.24568218923919521</v>
      </c>
      <c r="J19" s="32">
        <f>C11-J11</f>
        <v>78647256304.029999</v>
      </c>
      <c r="K19" s="31">
        <f t="shared" si="12"/>
        <v>0.47567896028212237</v>
      </c>
    </row>
    <row r="20" spans="1:11" ht="15.75" thickBot="1">
      <c r="A20" s="33" t="s">
        <v>60</v>
      </c>
      <c r="B20" s="34">
        <f>B15+B19</f>
        <v>240291898618</v>
      </c>
      <c r="C20" s="34">
        <f>C15+C19</f>
        <v>244092520197</v>
      </c>
      <c r="D20" s="35">
        <f t="shared" ref="D20" si="14">D15+D19</f>
        <v>38625766178</v>
      </c>
      <c r="E20" s="36">
        <f t="shared" si="13"/>
        <v>0.15824231789989412</v>
      </c>
      <c r="F20" s="45">
        <f t="shared" ref="F20" si="15">F15+F19</f>
        <v>42720197640.380005</v>
      </c>
      <c r="G20" s="46">
        <f t="shared" si="8"/>
        <v>0.17501641429201423</v>
      </c>
      <c r="H20" s="47">
        <f t="shared" ref="H20" si="16">H15+H19</f>
        <v>56864192174.079987</v>
      </c>
      <c r="I20" s="48">
        <f t="shared" si="10"/>
        <v>0.23296163326998526</v>
      </c>
      <c r="J20" s="49">
        <f t="shared" ref="J20" si="17">J15+J19</f>
        <v>98175171268.190002</v>
      </c>
      <c r="K20" s="50">
        <f t="shared" si="12"/>
        <v>0.40220475084183516</v>
      </c>
    </row>
    <row r="22" spans="1:11" ht="15.75" thickBot="1"/>
    <row r="23" spans="1:11" ht="15.75" thickBot="1">
      <c r="A23" s="52" t="s">
        <v>68</v>
      </c>
      <c r="B23" s="52" t="s">
        <v>90</v>
      </c>
      <c r="C23" s="52" t="s">
        <v>70</v>
      </c>
      <c r="D23" s="53" t="s">
        <v>65</v>
      </c>
      <c r="E23" s="54" t="s">
        <v>29</v>
      </c>
      <c r="F23" s="53" t="s">
        <v>74</v>
      </c>
      <c r="G23" s="54" t="s">
        <v>94</v>
      </c>
    </row>
    <row r="24" spans="1:11">
      <c r="A24" s="257" t="s">
        <v>83</v>
      </c>
      <c r="B24" s="57" t="s">
        <v>91</v>
      </c>
      <c r="C24" s="64">
        <f t="shared" ref="C24:E26" si="18">+C27+C30+C33</f>
        <v>78755679868</v>
      </c>
      <c r="D24" s="64">
        <f t="shared" si="18"/>
        <v>62511804587.839996</v>
      </c>
      <c r="E24" s="64">
        <f t="shared" si="18"/>
        <v>59227764903.840004</v>
      </c>
      <c r="F24" s="73">
        <f>IFERROR(+D24/C24,0)</f>
        <v>0.79374344418858589</v>
      </c>
      <c r="G24" s="82">
        <f>+IFERROR(E24/C24,0)</f>
        <v>0.75204436052243928</v>
      </c>
    </row>
    <row r="25" spans="1:11">
      <c r="A25" s="258"/>
      <c r="B25" s="55" t="s">
        <v>92</v>
      </c>
      <c r="C25" s="65">
        <v>0</v>
      </c>
      <c r="D25" s="65">
        <f t="shared" si="18"/>
        <v>0</v>
      </c>
      <c r="E25" s="65">
        <f t="shared" si="18"/>
        <v>0</v>
      </c>
      <c r="F25" s="74">
        <f t="shared" ref="F25:F42" si="19">IFERROR(+D25/C25,0)</f>
        <v>0</v>
      </c>
      <c r="G25" s="83">
        <f t="shared" ref="G25:G42" si="20">+IFERROR(E25/C25,0)</f>
        <v>0</v>
      </c>
    </row>
    <row r="26" spans="1:11" ht="15.75" thickBot="1">
      <c r="A26" s="259"/>
      <c r="B26" s="58" t="s">
        <v>93</v>
      </c>
      <c r="C26" s="66">
        <f t="shared" si="18"/>
        <v>0</v>
      </c>
      <c r="D26" s="66">
        <f t="shared" si="18"/>
        <v>0</v>
      </c>
      <c r="E26" s="66">
        <f t="shared" si="18"/>
        <v>0</v>
      </c>
      <c r="F26" s="75">
        <f t="shared" si="19"/>
        <v>0</v>
      </c>
      <c r="G26" s="90">
        <f t="shared" si="20"/>
        <v>0</v>
      </c>
    </row>
    <row r="27" spans="1:11">
      <c r="A27" s="260" t="s">
        <v>84</v>
      </c>
      <c r="B27" s="59" t="s">
        <v>91</v>
      </c>
      <c r="C27" s="67">
        <f>+GETPIVOTDATA("Suma de APR. VIGENTE",'TD-EPA RECURSO'!$A$3,"TIPO","A","CTA","01","REC","20")</f>
        <v>58763996000</v>
      </c>
      <c r="D27" s="67">
        <f>+GETPIVOTDATA("Suma de COMPROMISO",'TD-EPA RECURSO'!$A$3,"TIPO","A","CTA","01","REC","20")</f>
        <v>47219172277</v>
      </c>
      <c r="E27" s="67">
        <f>+GETPIVOTDATA("Suma de OBLIGACION",'TD-EPA RECURSO'!$A$3,"TIPO","A","CTA","01","REC","20")</f>
        <v>46867623571</v>
      </c>
      <c r="F27" s="76">
        <f t="shared" si="19"/>
        <v>0.80353916498462763</v>
      </c>
      <c r="G27" s="77">
        <f t="shared" si="20"/>
        <v>0.79755678240465466</v>
      </c>
    </row>
    <row r="28" spans="1:11">
      <c r="A28" s="261"/>
      <c r="B28" s="56" t="s">
        <v>92</v>
      </c>
      <c r="C28" s="68">
        <v>0</v>
      </c>
      <c r="D28" s="68"/>
      <c r="E28" s="68"/>
      <c r="F28" s="78">
        <f t="shared" si="19"/>
        <v>0</v>
      </c>
      <c r="G28" s="79">
        <f t="shared" si="20"/>
        <v>0</v>
      </c>
    </row>
    <row r="29" spans="1:11" ht="15.75" thickBot="1">
      <c r="A29" s="262"/>
      <c r="B29" s="60" t="s">
        <v>93</v>
      </c>
      <c r="C29" s="69">
        <v>0</v>
      </c>
      <c r="D29" s="69">
        <v>0</v>
      </c>
      <c r="E29" s="69">
        <v>0</v>
      </c>
      <c r="F29" s="80">
        <f t="shared" si="19"/>
        <v>0</v>
      </c>
      <c r="G29" s="81">
        <f t="shared" si="20"/>
        <v>0</v>
      </c>
    </row>
    <row r="30" spans="1:11">
      <c r="A30" s="260" t="s">
        <v>85</v>
      </c>
      <c r="B30" s="59" t="s">
        <v>91</v>
      </c>
      <c r="C30" s="67">
        <f>+GETPIVOTDATA("Suma de APR. VIGENTE",'TD-EPA RECURSO'!$A$3,"TIPO","A","CTA","02","REC","20")</f>
        <v>12676328868</v>
      </c>
      <c r="D30" s="67">
        <f>+GETPIVOTDATA("Suma de COMPROMISO",'TD-EPA RECURSO'!$A$3,"TIPO","A","CTA","02","REC","20")</f>
        <v>11945680776.639999</v>
      </c>
      <c r="E30" s="67">
        <f>+GETPIVOTDATA("Suma de OBLIGACION",'TD-EPA RECURSO'!$A$3,"TIPO","A","CTA","02","REC","20")</f>
        <v>9100655079.5100002</v>
      </c>
      <c r="F30" s="76">
        <f t="shared" si="19"/>
        <v>0.94236122311370119</v>
      </c>
      <c r="G30" s="77">
        <f t="shared" si="20"/>
        <v>0.7179251322899648</v>
      </c>
    </row>
    <row r="31" spans="1:11">
      <c r="A31" s="261"/>
      <c r="B31" s="56" t="s">
        <v>92</v>
      </c>
      <c r="C31" s="68">
        <v>0</v>
      </c>
      <c r="D31" s="68">
        <v>0</v>
      </c>
      <c r="E31" s="68">
        <v>0</v>
      </c>
      <c r="F31" s="78">
        <f t="shared" si="19"/>
        <v>0</v>
      </c>
      <c r="G31" s="79">
        <f t="shared" si="20"/>
        <v>0</v>
      </c>
    </row>
    <row r="32" spans="1:11" ht="15.75" thickBot="1">
      <c r="A32" s="262"/>
      <c r="B32" s="60" t="s">
        <v>93</v>
      </c>
      <c r="C32" s="69">
        <v>0</v>
      </c>
      <c r="D32" s="69">
        <v>0</v>
      </c>
      <c r="E32" s="69">
        <v>0</v>
      </c>
      <c r="F32" s="80">
        <f t="shared" si="19"/>
        <v>0</v>
      </c>
      <c r="G32" s="81">
        <f t="shared" si="20"/>
        <v>0</v>
      </c>
    </row>
    <row r="33" spans="1:7">
      <c r="A33" s="260" t="s">
        <v>86</v>
      </c>
      <c r="B33" s="59" t="s">
        <v>91</v>
      </c>
      <c r="C33" s="67">
        <f>+GETPIVOTDATA("Suma de APR. VIGENTE",'TD-EPA RECURSO'!$A$3,"TIPO","A","CTA","03","REC","20")+GETPIVOTDATA("Suma de APR. VIGENTE",'TD-EPA RECURSO'!$A$3,"TIPO","A","CTA","08","REC","20")</f>
        <v>7315355000</v>
      </c>
      <c r="D33" s="67">
        <f>+GETPIVOTDATA("Suma de COMPROMISO",'TD-EPA RECURSO'!$A$3,"TIPO","A","CTA","03","REC","20")</f>
        <v>3346951534.1999998</v>
      </c>
      <c r="E33" s="67">
        <f>+GETPIVOTDATA("Suma de OBLIGACION",'TD-EPA RECURSO'!$A$3,"TIPO","A","CTA","03","REC","20")</f>
        <v>3259486253.3299999</v>
      </c>
      <c r="F33" s="76">
        <f t="shared" si="19"/>
        <v>0.45752414396840618</v>
      </c>
      <c r="G33" s="77">
        <f t="shared" si="20"/>
        <v>0.44556774802179799</v>
      </c>
    </row>
    <row r="34" spans="1:7">
      <c r="A34" s="261"/>
      <c r="B34" s="56" t="s">
        <v>92</v>
      </c>
      <c r="C34" s="68">
        <v>0</v>
      </c>
      <c r="D34" s="68">
        <v>0</v>
      </c>
      <c r="E34" s="68">
        <v>0</v>
      </c>
      <c r="F34" s="78">
        <f t="shared" si="19"/>
        <v>0</v>
      </c>
      <c r="G34" s="79">
        <f t="shared" si="20"/>
        <v>0</v>
      </c>
    </row>
    <row r="35" spans="1:7" ht="15.75" thickBot="1">
      <c r="A35" s="262"/>
      <c r="B35" s="60" t="s">
        <v>93</v>
      </c>
      <c r="C35" s="69">
        <v>0</v>
      </c>
      <c r="D35" s="69">
        <v>0</v>
      </c>
      <c r="E35" s="69">
        <v>0</v>
      </c>
      <c r="F35" s="80">
        <f t="shared" si="19"/>
        <v>0</v>
      </c>
      <c r="G35" s="81">
        <f t="shared" si="20"/>
        <v>0</v>
      </c>
    </row>
    <row r="36" spans="1:7">
      <c r="A36" s="257" t="s">
        <v>87</v>
      </c>
      <c r="B36" s="57" t="s">
        <v>91</v>
      </c>
      <c r="C36" s="64">
        <f>+GETPIVOTDATA("Suma de APR. VIGENTE",'TD-EPA RECURSO'!$A$3,"TIPO","C","CTA","3503","REC","20")+GETPIVOTDATA("Suma de APR. VIGENTE",'TD-EPA RECURSO'!$A$3,"TIPO","C","CTA","3599","REC","20")</f>
        <v>107493663369</v>
      </c>
      <c r="D36" s="64">
        <f>+GETPIVOTDATA("Suma de COMPROMISO",'TD-EPA RECURSO'!$A$3,"TIPO","C","CTA","3503","REC","20")+GETPIVOTDATA("Suma de COMPROMISO",'TD-EPA RECURSO'!$A$3,"TIPO","C","CTA","3599","REC","20")</f>
        <v>99152519060.079987</v>
      </c>
      <c r="E36" s="64">
        <f>+GETPIVOTDATA("Suma de OBLIGACION",'TD-EPA RECURSO'!$A$3,"TIPO","C","CTA","3503","REC","20")+GETPIVOTDATA("Suma de OBLIGACION",'TD-EPA RECURSO'!$A$3,"TIPO","C","CTA","3599","REC","20")</f>
        <v>70856852523.050003</v>
      </c>
      <c r="F36" s="73">
        <f t="shared" si="19"/>
        <v>0.92240338595320859</v>
      </c>
      <c r="G36" s="82">
        <f t="shared" si="20"/>
        <v>0.65917236702423476</v>
      </c>
    </row>
    <row r="37" spans="1:7">
      <c r="A37" s="258"/>
      <c r="B37" s="55" t="s">
        <v>92</v>
      </c>
      <c r="C37" s="65">
        <f>+GETPIVOTDATA("Suma de APR. VIGENTE",'TD-EPA RECURSO'!$A$3,"TIPO","C","CTA","3503","REC","21")+GETPIVOTDATA("Suma de APR. VIGENTE",'TD-EPA RECURSO'!$A$3,"TIPO","C","CTA","3599","REC","21")</f>
        <v>23874375816</v>
      </c>
      <c r="D37" s="65">
        <f>+GETPIVOTDATA("Suma de COMPROMISO",'TD-EPA RECURSO'!$A$3,"TIPO","C","CTA","3503","REC","21")+GETPIVOTDATA("Suma de COMPROMISO",'TD-EPA RECURSO'!$A$3,"TIPO","C","CTA","3599","REC","21")</f>
        <v>22324946866.080002</v>
      </c>
      <c r="E37" s="65">
        <f>+GETPIVOTDATA("Suma de OBLIGACION",'TD-EPA RECURSO'!$A$3,"TIPO","C","CTA","3503","REC","21")+GETPIVOTDATA("Suma de OBLIGACION",'TD-EPA RECURSO'!$A$3,"TIPO","C","CTA","3599","REC","21")</f>
        <v>13350339297.559999</v>
      </c>
      <c r="F37" s="74">
        <f t="shared" si="19"/>
        <v>0.93510075564440054</v>
      </c>
      <c r="G37" s="83">
        <f t="shared" si="20"/>
        <v>0.55919113448038049</v>
      </c>
    </row>
    <row r="38" spans="1:7" ht="15.75" thickBot="1">
      <c r="A38" s="259"/>
      <c r="B38" s="58" t="s">
        <v>93</v>
      </c>
      <c r="C38" s="66">
        <f>+GETPIVOTDATA("Suma de APR. VIGENTE",'TD-EPA RECURSO'!$A$3,"TIPO","C","CTA","3503","REC","11")+GETPIVOTDATA("Suma de APR. VIGENTE",'TD-EPA RECURSO'!$A$3,"TIPO","C","CTA","3599","REC","11")</f>
        <v>347886828</v>
      </c>
      <c r="D38" s="66">
        <f>+GETPIVOTDATA("Suma de COMPROMISO",'TD-EPA RECURSO'!$A$3,"TIPO","C","CTA","3503","REC","11")+GETPIVOTDATA("Suma de COMPROMISO",'TD-EPA RECURSO'!$A$3,"TIPO","C","CTA","3599","REC","11")</f>
        <v>342629975.92000002</v>
      </c>
      <c r="E38" s="66">
        <f>+GETPIVOTDATA("Suma de OBLIGACION",'TD-EPA RECURSO'!$A$3,"TIPO","C","CTA","3503","REC","11")+GETPIVOTDATA("Suma de OBLIGACION",'TD-EPA RECURSO'!$A$3,"TIPO","C","CTA","3599","REC","11")</f>
        <v>294419655.36000001</v>
      </c>
      <c r="F38" s="75">
        <f t="shared" si="19"/>
        <v>0.98488918907846668</v>
      </c>
      <c r="G38" s="90">
        <f t="shared" si="20"/>
        <v>0.84630871784544837</v>
      </c>
    </row>
    <row r="39" spans="1:7">
      <c r="A39" s="263" t="s">
        <v>95</v>
      </c>
      <c r="B39" s="62" t="s">
        <v>91</v>
      </c>
      <c r="C39" s="70">
        <f>+C24+C36</f>
        <v>186249343237</v>
      </c>
      <c r="D39" s="70">
        <f t="shared" ref="C39:E41" si="21">+D24+D36</f>
        <v>161664323647.91998</v>
      </c>
      <c r="E39" s="70">
        <f t="shared" si="21"/>
        <v>130084617426.89001</v>
      </c>
      <c r="F39" s="84">
        <f t="shared" si="19"/>
        <v>0.86799942935747221</v>
      </c>
      <c r="G39" s="85">
        <f t="shared" si="20"/>
        <v>0.6984433618182424</v>
      </c>
    </row>
    <row r="40" spans="1:7">
      <c r="A40" s="264"/>
      <c r="B40" s="61" t="s">
        <v>92</v>
      </c>
      <c r="C40" s="71">
        <f>+C25+C37</f>
        <v>23874375816</v>
      </c>
      <c r="D40" s="71">
        <f t="shared" si="21"/>
        <v>22324946866.080002</v>
      </c>
      <c r="E40" s="71">
        <f t="shared" si="21"/>
        <v>13350339297.559999</v>
      </c>
      <c r="F40" s="86">
        <f t="shared" si="19"/>
        <v>0.93510075564440054</v>
      </c>
      <c r="G40" s="87">
        <f t="shared" si="20"/>
        <v>0.55919113448038049</v>
      </c>
    </row>
    <row r="41" spans="1:7" ht="15.75" thickBot="1">
      <c r="A41" s="265"/>
      <c r="B41" s="63" t="s">
        <v>93</v>
      </c>
      <c r="C41" s="72">
        <f t="shared" si="21"/>
        <v>347886828</v>
      </c>
      <c r="D41" s="72">
        <f t="shared" si="21"/>
        <v>342629975.92000002</v>
      </c>
      <c r="E41" s="72">
        <f t="shared" si="21"/>
        <v>294419655.36000001</v>
      </c>
      <c r="F41" s="88">
        <f t="shared" si="19"/>
        <v>0.98488918907846668</v>
      </c>
      <c r="G41" s="89">
        <f t="shared" si="20"/>
        <v>0.84630871784544837</v>
      </c>
    </row>
    <row r="42" spans="1:7" ht="15.75" thickBot="1">
      <c r="A42" s="255" t="s">
        <v>60</v>
      </c>
      <c r="B42" s="256"/>
      <c r="C42" s="91">
        <f>SUM(C39:C41)</f>
        <v>210471605881</v>
      </c>
      <c r="D42" s="91">
        <f>SUM(D39:D41)</f>
        <v>184331900489.92001</v>
      </c>
      <c r="E42" s="91">
        <f>SUM(E39:E41)</f>
        <v>143729376379.81</v>
      </c>
      <c r="F42" s="92">
        <f t="shared" si="19"/>
        <v>0.87580412435367028</v>
      </c>
      <c r="G42" s="93">
        <f t="shared" si="20"/>
        <v>0.68289200235909331</v>
      </c>
    </row>
  </sheetData>
  <mergeCells count="7">
    <mergeCell ref="A42:B42"/>
    <mergeCell ref="A24:A26"/>
    <mergeCell ref="A27:A29"/>
    <mergeCell ref="A30:A32"/>
    <mergeCell ref="A33:A35"/>
    <mergeCell ref="A36:A38"/>
    <mergeCell ref="A39:A4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3:U39"/>
  <sheetViews>
    <sheetView workbookViewId="0">
      <selection activeCell="F7" sqref="F7"/>
    </sheetView>
  </sheetViews>
  <sheetFormatPr baseColWidth="10" defaultRowHeight="15"/>
  <cols>
    <col min="1" max="1" width="17.5703125" style="4" customWidth="1"/>
    <col min="2" max="2" width="22.42578125" style="51" customWidth="1"/>
    <col min="3" max="3" width="19.140625" style="51" customWidth="1"/>
    <col min="4" max="4" width="17.85546875" style="51" customWidth="1"/>
    <col min="5" max="5" width="18.85546875" style="51" customWidth="1"/>
    <col min="6" max="6" width="19.140625" style="51" customWidth="1"/>
    <col min="7" max="7" width="17.85546875" style="51" customWidth="1"/>
    <col min="8" max="8" width="21.5703125" style="51" customWidth="1"/>
    <col min="9" max="9" width="22.28515625" style="51" customWidth="1"/>
    <col min="10" max="10" width="20.42578125" style="51" customWidth="1"/>
    <col min="11" max="11" width="23" style="51" customWidth="1"/>
    <col min="12" max="12" width="23.28515625" style="51" customWidth="1"/>
    <col min="13" max="13" width="22" style="51" customWidth="1"/>
    <col min="14" max="14" width="23" style="5" customWidth="1"/>
    <col min="15" max="15" width="23.28515625" style="5" customWidth="1"/>
    <col min="16" max="16" width="22" style="5" customWidth="1"/>
    <col min="17" max="21" width="20" style="5" customWidth="1"/>
  </cols>
  <sheetData>
    <row r="3" spans="1:21">
      <c r="A3"/>
      <c r="B3" s="94" t="s">
        <v>61</v>
      </c>
      <c r="C3"/>
      <c r="D3"/>
      <c r="E3"/>
      <c r="F3"/>
      <c r="G3"/>
      <c r="H3"/>
      <c r="I3"/>
      <c r="J3"/>
      <c r="K3"/>
      <c r="L3"/>
      <c r="M3"/>
      <c r="N3"/>
      <c r="O3"/>
      <c r="P3"/>
      <c r="Q3"/>
      <c r="R3"/>
      <c r="S3"/>
      <c r="T3"/>
      <c r="U3"/>
    </row>
    <row r="4" spans="1:21">
      <c r="A4"/>
      <c r="B4" s="177" t="s">
        <v>36</v>
      </c>
      <c r="C4" s="177"/>
      <c r="D4" s="178"/>
      <c r="E4" s="177" t="s">
        <v>48</v>
      </c>
      <c r="F4" s="177"/>
      <c r="G4" s="178"/>
      <c r="H4" s="171" t="s">
        <v>188</v>
      </c>
      <c r="I4" s="171"/>
      <c r="J4" s="171"/>
      <c r="K4" s="171" t="s">
        <v>62</v>
      </c>
      <c r="L4" s="171" t="s">
        <v>63</v>
      </c>
      <c r="M4" s="171" t="s">
        <v>64</v>
      </c>
      <c r="N4"/>
      <c r="O4"/>
      <c r="P4"/>
      <c r="Q4"/>
      <c r="R4"/>
      <c r="S4"/>
      <c r="T4"/>
      <c r="U4"/>
    </row>
    <row r="5" spans="1:21">
      <c r="A5" s="2" t="s">
        <v>53</v>
      </c>
      <c r="B5" s="177" t="s">
        <v>56</v>
      </c>
      <c r="C5" s="177" t="s">
        <v>57</v>
      </c>
      <c r="D5" s="178" t="s">
        <v>58</v>
      </c>
      <c r="E5" s="177" t="s">
        <v>56</v>
      </c>
      <c r="F5" s="177" t="s">
        <v>57</v>
      </c>
      <c r="G5" s="178" t="s">
        <v>58</v>
      </c>
      <c r="H5" t="s">
        <v>56</v>
      </c>
      <c r="I5" t="s">
        <v>57</v>
      </c>
      <c r="J5" t="s">
        <v>58</v>
      </c>
      <c r="K5" s="171"/>
      <c r="L5" s="171"/>
      <c r="M5" s="171"/>
      <c r="N5"/>
      <c r="O5"/>
      <c r="P5"/>
      <c r="Q5"/>
      <c r="R5"/>
      <c r="S5"/>
      <c r="T5"/>
      <c r="U5"/>
    </row>
    <row r="6" spans="1:21">
      <c r="A6" s="3" t="s">
        <v>34</v>
      </c>
      <c r="B6" s="172">
        <v>78755679868</v>
      </c>
      <c r="C6" s="172">
        <v>62514708443.219994</v>
      </c>
      <c r="D6" s="173">
        <v>59230668759.220001</v>
      </c>
      <c r="E6" s="172"/>
      <c r="F6" s="172"/>
      <c r="G6" s="173"/>
      <c r="H6" s="171"/>
      <c r="I6" s="171"/>
      <c r="J6" s="171"/>
      <c r="K6" s="171">
        <v>78755679868</v>
      </c>
      <c r="L6" s="171">
        <v>62514708443.219994</v>
      </c>
      <c r="M6" s="171">
        <v>59230668759.220001</v>
      </c>
      <c r="N6"/>
      <c r="O6"/>
      <c r="P6"/>
      <c r="Q6"/>
      <c r="R6"/>
      <c r="S6"/>
      <c r="T6"/>
      <c r="U6"/>
    </row>
    <row r="7" spans="1:21">
      <c r="A7" s="3" t="s">
        <v>145</v>
      </c>
      <c r="B7" s="171">
        <v>58763996000</v>
      </c>
      <c r="C7" s="171">
        <v>47219172277</v>
      </c>
      <c r="D7" s="174">
        <v>46867623571</v>
      </c>
      <c r="E7" s="171"/>
      <c r="F7" s="171"/>
      <c r="G7" s="174"/>
      <c r="H7" s="171"/>
      <c r="I7" s="171"/>
      <c r="J7" s="171"/>
      <c r="K7" s="171">
        <v>58763996000</v>
      </c>
      <c r="L7" s="171">
        <v>47219172277</v>
      </c>
      <c r="M7" s="171">
        <v>46867623571</v>
      </c>
      <c r="N7"/>
      <c r="O7"/>
      <c r="P7"/>
      <c r="Q7"/>
      <c r="R7"/>
      <c r="S7"/>
      <c r="T7"/>
      <c r="U7"/>
    </row>
    <row r="8" spans="1:21">
      <c r="A8" s="3" t="s">
        <v>148</v>
      </c>
      <c r="B8" s="171">
        <v>12676328868</v>
      </c>
      <c r="C8" s="171">
        <v>11945680776.639999</v>
      </c>
      <c r="D8" s="174">
        <v>9100655079.5100002</v>
      </c>
      <c r="E8" s="171"/>
      <c r="F8" s="171"/>
      <c r="G8" s="174"/>
      <c r="H8" s="171"/>
      <c r="I8" s="171"/>
      <c r="J8" s="171"/>
      <c r="K8" s="171">
        <v>12676328868</v>
      </c>
      <c r="L8" s="171">
        <v>11945680776.639999</v>
      </c>
      <c r="M8" s="171">
        <v>9100655079.5100002</v>
      </c>
      <c r="N8"/>
      <c r="O8"/>
      <c r="P8"/>
      <c r="Q8"/>
      <c r="R8"/>
      <c r="S8"/>
      <c r="T8"/>
      <c r="U8"/>
    </row>
    <row r="9" spans="1:21">
      <c r="A9" s="3" t="s">
        <v>151</v>
      </c>
      <c r="B9" s="171">
        <v>7027097000</v>
      </c>
      <c r="C9" s="171">
        <v>3346951534.1999998</v>
      </c>
      <c r="D9" s="174">
        <v>3259486253.3299999</v>
      </c>
      <c r="E9" s="171"/>
      <c r="F9" s="171"/>
      <c r="G9" s="174"/>
      <c r="H9" s="171"/>
      <c r="I9" s="171"/>
      <c r="J9" s="171"/>
      <c r="K9" s="171">
        <v>7027097000</v>
      </c>
      <c r="L9" s="171">
        <v>3346951534.1999998</v>
      </c>
      <c r="M9" s="171">
        <v>3259486253.3299999</v>
      </c>
      <c r="N9"/>
      <c r="O9"/>
      <c r="P9"/>
      <c r="Q9"/>
      <c r="R9"/>
      <c r="S9"/>
      <c r="T9"/>
      <c r="U9"/>
    </row>
    <row r="10" spans="1:21">
      <c r="A10" s="3" t="s">
        <v>180</v>
      </c>
      <c r="B10" s="171">
        <v>288258000</v>
      </c>
      <c r="C10" s="171">
        <v>2903855.38</v>
      </c>
      <c r="D10" s="174">
        <v>2903855.38</v>
      </c>
      <c r="E10" s="171"/>
      <c r="F10" s="171"/>
      <c r="G10" s="174"/>
      <c r="H10" s="171"/>
      <c r="I10" s="171"/>
      <c r="J10" s="171"/>
      <c r="K10" s="171">
        <v>288258000</v>
      </c>
      <c r="L10" s="171">
        <v>2903855.38</v>
      </c>
      <c r="M10" s="171">
        <v>2903855.38</v>
      </c>
      <c r="N10"/>
      <c r="O10"/>
      <c r="P10"/>
      <c r="Q10"/>
      <c r="R10"/>
      <c r="S10"/>
      <c r="T10"/>
      <c r="U10"/>
    </row>
    <row r="11" spans="1:21">
      <c r="A11" s="3" t="s">
        <v>45</v>
      </c>
      <c r="B11" s="171">
        <v>107493663369</v>
      </c>
      <c r="C11" s="171">
        <v>99152519060.079987</v>
      </c>
      <c r="D11" s="174">
        <v>70856852523.050003</v>
      </c>
      <c r="E11" s="171">
        <v>23874375816</v>
      </c>
      <c r="F11" s="171">
        <v>22324946866.080002</v>
      </c>
      <c r="G11" s="174">
        <v>13350339297.559999</v>
      </c>
      <c r="H11" s="171">
        <v>347886828</v>
      </c>
      <c r="I11" s="171">
        <v>342629975.92000002</v>
      </c>
      <c r="J11" s="171">
        <v>294419655.36000001</v>
      </c>
      <c r="K11" s="171">
        <v>131715926013</v>
      </c>
      <c r="L11" s="171">
        <v>121820095902.07999</v>
      </c>
      <c r="M11" s="171">
        <v>84501611475.970001</v>
      </c>
      <c r="N11"/>
      <c r="O11"/>
      <c r="P11"/>
      <c r="Q11"/>
      <c r="R11"/>
      <c r="S11"/>
      <c r="T11"/>
      <c r="U11"/>
    </row>
    <row r="12" spans="1:21">
      <c r="A12" s="1" t="s">
        <v>46</v>
      </c>
      <c r="B12" s="171">
        <v>76881940125</v>
      </c>
      <c r="C12" s="171">
        <v>71155682683.929993</v>
      </c>
      <c r="D12" s="174">
        <v>51591596111.489998</v>
      </c>
      <c r="E12" s="171"/>
      <c r="F12" s="171"/>
      <c r="G12" s="174"/>
      <c r="H12" s="171">
        <v>347886828</v>
      </c>
      <c r="I12" s="171">
        <v>342629975.92000002</v>
      </c>
      <c r="J12" s="171">
        <v>294419655.36000001</v>
      </c>
      <c r="K12" s="171">
        <v>77229826953</v>
      </c>
      <c r="L12" s="171">
        <v>71498312659.849991</v>
      </c>
      <c r="M12" s="171">
        <v>51886015766.849998</v>
      </c>
      <c r="N12"/>
      <c r="O12"/>
      <c r="P12"/>
      <c r="Q12"/>
      <c r="R12"/>
      <c r="S12"/>
      <c r="T12"/>
      <c r="U12"/>
    </row>
    <row r="13" spans="1:21">
      <c r="A13" s="1" t="s">
        <v>52</v>
      </c>
      <c r="B13" s="171">
        <v>30611723244</v>
      </c>
      <c r="C13" s="171">
        <v>27996836376.150002</v>
      </c>
      <c r="D13" s="174">
        <v>19265256411.560001</v>
      </c>
      <c r="E13" s="171">
        <v>23874375816</v>
      </c>
      <c r="F13" s="171">
        <v>22324946866.080002</v>
      </c>
      <c r="G13" s="174">
        <v>13350339297.559999</v>
      </c>
      <c r="H13" s="171"/>
      <c r="I13" s="171"/>
      <c r="J13" s="171"/>
      <c r="K13" s="171">
        <v>54486099060</v>
      </c>
      <c r="L13" s="171">
        <v>50321783242.230003</v>
      </c>
      <c r="M13" s="171">
        <v>32615595709.120003</v>
      </c>
      <c r="N13"/>
      <c r="O13"/>
      <c r="P13"/>
      <c r="Q13"/>
      <c r="R13"/>
      <c r="S13"/>
      <c r="T13"/>
      <c r="U13"/>
    </row>
    <row r="14" spans="1:21">
      <c r="A14" s="3" t="s">
        <v>54</v>
      </c>
      <c r="B14" s="175">
        <v>186249343237</v>
      </c>
      <c r="C14" s="175">
        <v>161667227503.29999</v>
      </c>
      <c r="D14" s="176">
        <v>130087521282.26999</v>
      </c>
      <c r="E14" s="175">
        <v>23874375816</v>
      </c>
      <c r="F14" s="175">
        <v>22324946866.080002</v>
      </c>
      <c r="G14" s="176">
        <v>13350339297.559999</v>
      </c>
      <c r="H14" s="171">
        <v>347886828</v>
      </c>
      <c r="I14" s="171">
        <v>342629975.92000002</v>
      </c>
      <c r="J14" s="171">
        <v>294419655.36000001</v>
      </c>
      <c r="K14" s="171">
        <v>210471605881</v>
      </c>
      <c r="L14" s="171">
        <v>184334804345.29999</v>
      </c>
      <c r="M14" s="171">
        <v>143732280235.19</v>
      </c>
      <c r="N14"/>
      <c r="O14"/>
      <c r="P14"/>
      <c r="Q14"/>
      <c r="R14"/>
      <c r="S14"/>
      <c r="T14"/>
      <c r="U14"/>
    </row>
    <row r="15" spans="1:21">
      <c r="A15"/>
      <c r="B15"/>
      <c r="C15"/>
      <c r="D15"/>
      <c r="E15"/>
      <c r="F15"/>
      <c r="G15"/>
      <c r="H15"/>
      <c r="I15"/>
      <c r="J15"/>
      <c r="K15"/>
      <c r="L15"/>
      <c r="M15"/>
      <c r="N15"/>
      <c r="O15"/>
      <c r="P15"/>
      <c r="Q15"/>
      <c r="R15"/>
      <c r="S15"/>
      <c r="T15"/>
      <c r="U15"/>
    </row>
    <row r="16" spans="1:21">
      <c r="A16"/>
      <c r="N16"/>
      <c r="O16"/>
      <c r="P16"/>
      <c r="Q16"/>
      <c r="R16"/>
      <c r="S16"/>
      <c r="T16"/>
      <c r="U16"/>
    </row>
    <row r="17" spans="1:21">
      <c r="A17"/>
      <c r="N17"/>
      <c r="O17"/>
      <c r="P17"/>
      <c r="Q17"/>
      <c r="R17"/>
      <c r="S17"/>
      <c r="T17"/>
      <c r="U17"/>
    </row>
    <row r="18" spans="1:21">
      <c r="A18"/>
      <c r="N18"/>
      <c r="O18"/>
      <c r="P18"/>
      <c r="Q18"/>
      <c r="R18"/>
      <c r="S18"/>
      <c r="T18"/>
      <c r="U18"/>
    </row>
    <row r="19" spans="1:21">
      <c r="A19"/>
      <c r="N19"/>
      <c r="O19"/>
      <c r="P19"/>
      <c r="Q19"/>
      <c r="R19"/>
      <c r="S19"/>
      <c r="T19"/>
      <c r="U19"/>
    </row>
    <row r="20" spans="1:21">
      <c r="A20"/>
      <c r="N20"/>
      <c r="O20"/>
      <c r="P20"/>
      <c r="Q20"/>
      <c r="R20"/>
      <c r="S20"/>
      <c r="T20"/>
      <c r="U20"/>
    </row>
    <row r="21" spans="1:21">
      <c r="A21"/>
      <c r="N21"/>
      <c r="O21"/>
      <c r="P21"/>
      <c r="Q21"/>
      <c r="R21"/>
      <c r="S21"/>
      <c r="T21"/>
      <c r="U21"/>
    </row>
    <row r="22" spans="1:21">
      <c r="A22"/>
      <c r="N22"/>
      <c r="O22"/>
      <c r="P22"/>
      <c r="Q22"/>
      <c r="R22"/>
      <c r="S22"/>
      <c r="T22"/>
      <c r="U22"/>
    </row>
    <row r="23" spans="1:21">
      <c r="A23"/>
      <c r="N23"/>
      <c r="O23"/>
      <c r="P23"/>
      <c r="Q23"/>
      <c r="R23"/>
      <c r="S23"/>
      <c r="T23"/>
      <c r="U23"/>
    </row>
    <row r="24" spans="1:21">
      <c r="A24"/>
      <c r="N24"/>
      <c r="O24"/>
      <c r="P24"/>
      <c r="Q24"/>
      <c r="R24"/>
      <c r="S24"/>
      <c r="T24"/>
      <c r="U24"/>
    </row>
    <row r="25" spans="1:21">
      <c r="A25"/>
      <c r="N25"/>
      <c r="O25"/>
      <c r="P25"/>
      <c r="Q25"/>
      <c r="R25"/>
      <c r="S25"/>
      <c r="T25"/>
      <c r="U25"/>
    </row>
    <row r="26" spans="1:21">
      <c r="A26"/>
      <c r="N26"/>
      <c r="O26"/>
      <c r="P26"/>
      <c r="Q26"/>
      <c r="R26"/>
      <c r="S26"/>
      <c r="T26"/>
      <c r="U26"/>
    </row>
    <row r="27" spans="1:21">
      <c r="A27"/>
      <c r="N27"/>
      <c r="O27"/>
      <c r="P27"/>
      <c r="Q27"/>
      <c r="R27"/>
      <c r="S27"/>
      <c r="T27"/>
      <c r="U27"/>
    </row>
    <row r="28" spans="1:21">
      <c r="A28"/>
      <c r="N28"/>
      <c r="O28"/>
      <c r="P28"/>
      <c r="Q28"/>
      <c r="R28"/>
      <c r="S28"/>
      <c r="T28"/>
      <c r="U28"/>
    </row>
    <row r="29" spans="1:21">
      <c r="A29"/>
      <c r="N29"/>
      <c r="O29"/>
      <c r="P29"/>
      <c r="Q29"/>
      <c r="R29"/>
      <c r="S29"/>
      <c r="T29"/>
      <c r="U29"/>
    </row>
    <row r="30" spans="1:21">
      <c r="A30"/>
      <c r="N30"/>
      <c r="O30"/>
      <c r="P30"/>
      <c r="Q30"/>
      <c r="R30"/>
      <c r="S30"/>
      <c r="T30"/>
      <c r="U30"/>
    </row>
    <row r="31" spans="1:21">
      <c r="A31"/>
      <c r="N31"/>
      <c r="O31"/>
      <c r="P31"/>
      <c r="Q31"/>
      <c r="R31"/>
      <c r="S31"/>
      <c r="T31"/>
      <c r="U31"/>
    </row>
    <row r="32" spans="1:21">
      <c r="A32"/>
      <c r="N32"/>
      <c r="O32"/>
      <c r="P32"/>
      <c r="Q32"/>
      <c r="R32"/>
      <c r="S32"/>
      <c r="T32"/>
      <c r="U32"/>
    </row>
    <row r="33" spans="1:21">
      <c r="A33"/>
      <c r="N33"/>
      <c r="O33"/>
      <c r="P33"/>
      <c r="Q33"/>
      <c r="R33"/>
      <c r="S33"/>
      <c r="T33"/>
      <c r="U33"/>
    </row>
    <row r="34" spans="1:21">
      <c r="A34"/>
      <c r="N34"/>
      <c r="O34"/>
      <c r="P34"/>
      <c r="Q34"/>
      <c r="R34"/>
      <c r="S34"/>
      <c r="T34"/>
      <c r="U34"/>
    </row>
    <row r="35" spans="1:21">
      <c r="A35"/>
      <c r="N35"/>
      <c r="O35"/>
      <c r="P35"/>
      <c r="Q35"/>
      <c r="R35"/>
      <c r="S35"/>
      <c r="T35"/>
      <c r="U35"/>
    </row>
    <row r="36" spans="1:21">
      <c r="A36"/>
      <c r="N36"/>
      <c r="O36"/>
      <c r="P36"/>
      <c r="Q36"/>
      <c r="R36"/>
      <c r="S36"/>
      <c r="T36"/>
      <c r="U36"/>
    </row>
    <row r="37" spans="1:21">
      <c r="A37"/>
      <c r="N37"/>
      <c r="O37"/>
      <c r="P37"/>
      <c r="Q37"/>
      <c r="R37"/>
      <c r="S37"/>
      <c r="T37"/>
      <c r="U37"/>
    </row>
    <row r="38" spans="1:21">
      <c r="N38"/>
      <c r="O38"/>
      <c r="P38"/>
      <c r="Q38"/>
      <c r="R38"/>
      <c r="S38"/>
      <c r="T38"/>
      <c r="U38"/>
    </row>
    <row r="39" spans="1:21">
      <c r="N39"/>
      <c r="O39"/>
      <c r="P39"/>
      <c r="Q39"/>
      <c r="R39"/>
      <c r="S39"/>
      <c r="T39"/>
      <c r="U39"/>
    </row>
  </sheetData>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3:U43"/>
  <sheetViews>
    <sheetView zoomScale="80" zoomScaleNormal="80" workbookViewId="0">
      <selection activeCell="D40" sqref="D40"/>
    </sheetView>
  </sheetViews>
  <sheetFormatPr baseColWidth="10" defaultRowHeight="15"/>
  <cols>
    <col min="1" max="1" width="255.7109375" style="181" customWidth="1"/>
    <col min="2" max="2" width="22" style="170" customWidth="1"/>
    <col min="3" max="3" width="23.7109375" style="170" customWidth="1"/>
    <col min="4" max="4" width="17.140625" style="170" customWidth="1"/>
    <col min="5" max="5" width="24.140625" style="170" customWidth="1"/>
    <col min="6" max="6" width="22.28515625" style="170" customWidth="1"/>
    <col min="7" max="7" width="17.140625" style="170" customWidth="1"/>
    <col min="8" max="8" width="25.28515625" style="170" bestFit="1" customWidth="1"/>
    <col min="9" max="21" width="20" style="5" customWidth="1"/>
  </cols>
  <sheetData>
    <row r="3" spans="1:21">
      <c r="A3" s="180" t="s">
        <v>53</v>
      </c>
      <c r="B3" s="169" t="s">
        <v>55</v>
      </c>
      <c r="C3" s="169" t="s">
        <v>56</v>
      </c>
      <c r="D3" s="169" t="s">
        <v>89</v>
      </c>
      <c r="E3" s="169" t="s">
        <v>57</v>
      </c>
      <c r="F3" s="169" t="s">
        <v>58</v>
      </c>
      <c r="G3" t="s">
        <v>59</v>
      </c>
      <c r="H3" t="s">
        <v>88</v>
      </c>
      <c r="I3"/>
      <c r="J3"/>
      <c r="K3"/>
      <c r="L3"/>
      <c r="M3"/>
      <c r="N3"/>
      <c r="O3"/>
      <c r="P3"/>
      <c r="Q3"/>
      <c r="R3"/>
      <c r="S3"/>
      <c r="T3"/>
      <c r="U3"/>
    </row>
    <row r="4" spans="1:21">
      <c r="A4" s="179" t="s">
        <v>34</v>
      </c>
      <c r="B4" s="169">
        <v>78755679868</v>
      </c>
      <c r="C4" s="169">
        <v>78755679868</v>
      </c>
      <c r="D4" s="169">
        <v>74251210744.680008</v>
      </c>
      <c r="E4" s="169">
        <v>62514708443.219994</v>
      </c>
      <c r="F4" s="169">
        <v>59230668759.220001</v>
      </c>
      <c r="G4" s="169">
        <v>59200868037.220001</v>
      </c>
      <c r="H4" s="169">
        <v>1602947000</v>
      </c>
      <c r="I4"/>
      <c r="J4"/>
      <c r="K4"/>
      <c r="L4"/>
      <c r="M4"/>
      <c r="N4"/>
      <c r="O4"/>
      <c r="P4"/>
      <c r="Q4"/>
      <c r="R4"/>
      <c r="S4"/>
      <c r="T4"/>
      <c r="U4"/>
    </row>
    <row r="5" spans="1:21">
      <c r="A5" s="179" t="s">
        <v>145</v>
      </c>
      <c r="B5" s="169">
        <v>58763996000</v>
      </c>
      <c r="C5" s="169">
        <v>58763996000</v>
      </c>
      <c r="D5" s="169">
        <v>58401399000</v>
      </c>
      <c r="E5" s="169">
        <v>47219172277</v>
      </c>
      <c r="F5" s="169">
        <v>46867623571</v>
      </c>
      <c r="G5" s="169">
        <v>46867623571</v>
      </c>
      <c r="H5" s="169">
        <v>156747000</v>
      </c>
      <c r="I5"/>
      <c r="J5"/>
      <c r="K5"/>
      <c r="L5"/>
      <c r="M5"/>
      <c r="N5"/>
      <c r="O5"/>
      <c r="P5"/>
      <c r="Q5"/>
      <c r="R5"/>
      <c r="S5"/>
      <c r="T5"/>
      <c r="U5"/>
    </row>
    <row r="6" spans="1:21">
      <c r="A6" s="95" t="s">
        <v>146</v>
      </c>
      <c r="B6" s="169">
        <v>40628002000</v>
      </c>
      <c r="C6" s="169">
        <v>34935436000</v>
      </c>
      <c r="D6" s="169">
        <v>34935436000</v>
      </c>
      <c r="E6" s="169">
        <v>29453696464</v>
      </c>
      <c r="F6" s="169">
        <v>29147718774</v>
      </c>
      <c r="G6" s="169">
        <v>29147718774</v>
      </c>
      <c r="H6" s="169">
        <v>0</v>
      </c>
      <c r="I6"/>
      <c r="J6"/>
      <c r="K6"/>
      <c r="L6"/>
      <c r="M6"/>
      <c r="N6"/>
      <c r="O6"/>
      <c r="P6"/>
      <c r="Q6"/>
      <c r="R6"/>
      <c r="S6"/>
      <c r="T6"/>
      <c r="U6"/>
    </row>
    <row r="7" spans="1:21">
      <c r="A7" s="95" t="s">
        <v>149</v>
      </c>
      <c r="B7" s="169">
        <v>13022354000</v>
      </c>
      <c r="C7" s="169">
        <v>13228204000</v>
      </c>
      <c r="D7" s="169">
        <v>13022354000</v>
      </c>
      <c r="E7" s="169">
        <v>10700267874</v>
      </c>
      <c r="F7" s="169">
        <v>10700267872</v>
      </c>
      <c r="G7" s="169">
        <v>10700267872</v>
      </c>
      <c r="H7" s="169">
        <v>0</v>
      </c>
      <c r="I7"/>
      <c r="J7"/>
      <c r="K7"/>
      <c r="L7"/>
      <c r="M7"/>
      <c r="N7"/>
      <c r="O7"/>
      <c r="P7"/>
      <c r="Q7"/>
      <c r="R7"/>
      <c r="S7"/>
      <c r="T7"/>
      <c r="U7"/>
    </row>
    <row r="8" spans="1:21">
      <c r="A8" s="95" t="s">
        <v>152</v>
      </c>
      <c r="B8" s="169">
        <v>3243609000</v>
      </c>
      <c r="C8" s="169">
        <v>10443609000</v>
      </c>
      <c r="D8" s="169">
        <v>10443609000</v>
      </c>
      <c r="E8" s="169">
        <v>7065207939</v>
      </c>
      <c r="F8" s="169">
        <v>7019636925</v>
      </c>
      <c r="G8" s="169">
        <v>7019636925</v>
      </c>
      <c r="H8" s="169">
        <v>0</v>
      </c>
      <c r="I8"/>
      <c r="J8"/>
      <c r="K8"/>
      <c r="L8"/>
      <c r="M8"/>
      <c r="N8"/>
      <c r="O8"/>
      <c r="P8"/>
      <c r="Q8"/>
      <c r="R8"/>
      <c r="S8"/>
      <c r="T8"/>
      <c r="U8"/>
    </row>
    <row r="9" spans="1:21">
      <c r="A9" s="95" t="s">
        <v>213</v>
      </c>
      <c r="B9" s="169">
        <v>1870031000</v>
      </c>
      <c r="C9" s="169">
        <v>156747000</v>
      </c>
      <c r="D9" s="169">
        <v>0</v>
      </c>
      <c r="E9" s="169">
        <v>0</v>
      </c>
      <c r="F9" s="169">
        <v>0</v>
      </c>
      <c r="G9" s="169">
        <v>0</v>
      </c>
      <c r="H9" s="169">
        <v>156747000</v>
      </c>
      <c r="I9"/>
      <c r="J9"/>
      <c r="K9"/>
      <c r="L9"/>
      <c r="M9"/>
      <c r="N9"/>
      <c r="O9"/>
      <c r="P9"/>
      <c r="Q9"/>
      <c r="R9"/>
      <c r="S9"/>
      <c r="T9"/>
      <c r="U9"/>
    </row>
    <row r="10" spans="1:21">
      <c r="A10" s="95" t="s">
        <v>220</v>
      </c>
      <c r="B10" s="169">
        <v>0</v>
      </c>
      <c r="C10" s="169">
        <v>0</v>
      </c>
      <c r="D10" s="169">
        <v>0</v>
      </c>
      <c r="E10" s="169">
        <v>0</v>
      </c>
      <c r="F10" s="169">
        <v>0</v>
      </c>
      <c r="G10" s="169">
        <v>0</v>
      </c>
      <c r="H10" s="169">
        <v>0</v>
      </c>
      <c r="I10"/>
      <c r="J10"/>
      <c r="K10"/>
      <c r="L10"/>
      <c r="M10"/>
      <c r="N10"/>
      <c r="O10"/>
      <c r="P10"/>
      <c r="Q10"/>
      <c r="R10"/>
      <c r="S10"/>
      <c r="T10"/>
      <c r="U10"/>
    </row>
    <row r="11" spans="1:21">
      <c r="A11" s="179" t="s">
        <v>148</v>
      </c>
      <c r="B11" s="169">
        <v>12676328868</v>
      </c>
      <c r="C11" s="169">
        <v>12676328868</v>
      </c>
      <c r="D11" s="169">
        <v>12151114692.799999</v>
      </c>
      <c r="E11" s="169">
        <v>11945680776.639999</v>
      </c>
      <c r="F11" s="169">
        <v>9100655079.5100002</v>
      </c>
      <c r="G11" s="169">
        <v>9095527229.5100002</v>
      </c>
      <c r="H11" s="169">
        <v>0</v>
      </c>
      <c r="I11"/>
      <c r="J11"/>
      <c r="K11"/>
      <c r="L11"/>
      <c r="M11"/>
      <c r="N11"/>
      <c r="O11"/>
      <c r="P11"/>
      <c r="Q11"/>
      <c r="R11"/>
      <c r="S11"/>
      <c r="T11"/>
      <c r="U11"/>
    </row>
    <row r="12" spans="1:21">
      <c r="A12" s="95" t="s">
        <v>156</v>
      </c>
      <c r="B12" s="169">
        <v>10000000</v>
      </c>
      <c r="C12" s="169">
        <v>10000000</v>
      </c>
      <c r="D12" s="169">
        <v>8237399</v>
      </c>
      <c r="E12" s="169">
        <v>7781279</v>
      </c>
      <c r="F12" s="169">
        <v>7758134</v>
      </c>
      <c r="G12" s="169">
        <v>7758134</v>
      </c>
      <c r="H12" s="169">
        <v>0</v>
      </c>
      <c r="I12"/>
      <c r="J12"/>
      <c r="K12"/>
      <c r="L12"/>
      <c r="M12"/>
      <c r="N12"/>
      <c r="O12"/>
      <c r="P12"/>
      <c r="Q12"/>
      <c r="R12"/>
      <c r="S12"/>
      <c r="T12"/>
      <c r="U12"/>
    </row>
    <row r="13" spans="1:21">
      <c r="A13" s="95" t="s">
        <v>158</v>
      </c>
      <c r="B13" s="169">
        <v>12666328868</v>
      </c>
      <c r="C13" s="169">
        <v>12666328868</v>
      </c>
      <c r="D13" s="169">
        <v>12142877293.799999</v>
      </c>
      <c r="E13" s="169">
        <v>11937899497.639999</v>
      </c>
      <c r="F13" s="169">
        <v>9092896945.5100002</v>
      </c>
      <c r="G13" s="169">
        <v>9087769095.5100002</v>
      </c>
      <c r="H13" s="169">
        <v>0</v>
      </c>
      <c r="I13"/>
      <c r="J13"/>
      <c r="K13"/>
      <c r="L13"/>
      <c r="M13"/>
      <c r="N13"/>
      <c r="O13"/>
      <c r="P13"/>
      <c r="Q13"/>
      <c r="R13"/>
      <c r="S13"/>
      <c r="T13"/>
      <c r="U13"/>
    </row>
    <row r="14" spans="1:21">
      <c r="A14" s="179" t="s">
        <v>151</v>
      </c>
      <c r="B14" s="169">
        <v>7027097000</v>
      </c>
      <c r="C14" s="169">
        <v>7027097000</v>
      </c>
      <c r="D14" s="169">
        <v>3695770196.5</v>
      </c>
      <c r="E14" s="169">
        <v>3346951534.1999998</v>
      </c>
      <c r="F14" s="169">
        <v>3259486253.3299999</v>
      </c>
      <c r="G14" s="169">
        <v>3234813381.3299999</v>
      </c>
      <c r="H14" s="169">
        <v>1446200000</v>
      </c>
      <c r="I14"/>
      <c r="J14"/>
      <c r="K14"/>
      <c r="L14"/>
      <c r="M14"/>
      <c r="N14"/>
      <c r="O14"/>
      <c r="P14"/>
      <c r="Q14"/>
      <c r="R14"/>
      <c r="S14"/>
      <c r="T14"/>
      <c r="U14"/>
    </row>
    <row r="15" spans="1:21">
      <c r="A15" s="95" t="s">
        <v>43</v>
      </c>
      <c r="B15" s="169">
        <v>81269000</v>
      </c>
      <c r="C15" s="169">
        <v>217519000</v>
      </c>
      <c r="D15" s="169">
        <v>217519000</v>
      </c>
      <c r="E15" s="169">
        <v>217474561</v>
      </c>
      <c r="F15" s="169">
        <v>212785459</v>
      </c>
      <c r="G15" s="169">
        <v>212785459</v>
      </c>
      <c r="H15" s="169">
        <v>0</v>
      </c>
      <c r="I15"/>
      <c r="J15"/>
      <c r="K15"/>
      <c r="L15"/>
      <c r="M15"/>
      <c r="N15"/>
      <c r="O15"/>
      <c r="P15"/>
      <c r="Q15"/>
      <c r="R15"/>
      <c r="S15"/>
      <c r="T15"/>
      <c r="U15"/>
    </row>
    <row r="16" spans="1:21">
      <c r="A16" s="95" t="s">
        <v>42</v>
      </c>
      <c r="B16" s="169">
        <v>206493000</v>
      </c>
      <c r="C16" s="169">
        <v>84656000</v>
      </c>
      <c r="D16" s="169">
        <v>84656000</v>
      </c>
      <c r="E16" s="169">
        <v>84479553</v>
      </c>
      <c r="F16" s="169">
        <v>84479553</v>
      </c>
      <c r="G16" s="169">
        <v>84479553</v>
      </c>
      <c r="H16" s="169">
        <v>0</v>
      </c>
      <c r="I16"/>
      <c r="J16"/>
      <c r="K16"/>
      <c r="L16"/>
      <c r="M16"/>
      <c r="N16"/>
      <c r="O16"/>
      <c r="P16"/>
      <c r="Q16"/>
      <c r="R16"/>
      <c r="S16"/>
      <c r="T16"/>
      <c r="U16"/>
    </row>
    <row r="17" spans="1:21">
      <c r="A17" s="95" t="s">
        <v>165</v>
      </c>
      <c r="B17" s="169">
        <v>1446200000</v>
      </c>
      <c r="C17" s="169">
        <v>1446200000</v>
      </c>
      <c r="D17" s="169">
        <v>0</v>
      </c>
      <c r="E17" s="169">
        <v>0</v>
      </c>
      <c r="F17" s="169">
        <v>0</v>
      </c>
      <c r="G17" s="169">
        <v>0</v>
      </c>
      <c r="H17" s="169">
        <v>1446200000</v>
      </c>
      <c r="I17"/>
      <c r="J17"/>
      <c r="K17"/>
      <c r="L17"/>
      <c r="M17"/>
      <c r="N17"/>
      <c r="O17"/>
      <c r="P17"/>
      <c r="Q17"/>
      <c r="R17"/>
      <c r="S17"/>
      <c r="T17"/>
      <c r="U17"/>
    </row>
    <row r="18" spans="1:21">
      <c r="A18" s="95" t="s">
        <v>168</v>
      </c>
      <c r="B18" s="169">
        <v>418365000</v>
      </c>
      <c r="C18" s="169">
        <v>403952000</v>
      </c>
      <c r="D18" s="169">
        <v>403952000</v>
      </c>
      <c r="E18" s="169">
        <v>359007154.69999999</v>
      </c>
      <c r="F18" s="169">
        <v>358795648.82999998</v>
      </c>
      <c r="G18" s="169">
        <v>358795648.82999998</v>
      </c>
      <c r="H18" s="169">
        <v>0</v>
      </c>
      <c r="I18"/>
      <c r="J18"/>
      <c r="K18"/>
      <c r="L18"/>
      <c r="M18"/>
      <c r="N18"/>
      <c r="O18"/>
      <c r="P18"/>
      <c r="Q18"/>
      <c r="R18"/>
      <c r="S18"/>
      <c r="T18"/>
      <c r="U18"/>
    </row>
    <row r="19" spans="1:21">
      <c r="A19" s="95" t="s">
        <v>173</v>
      </c>
      <c r="B19" s="169">
        <v>626000000</v>
      </c>
      <c r="C19" s="169">
        <v>626000000</v>
      </c>
      <c r="D19" s="169">
        <v>626000000</v>
      </c>
      <c r="E19" s="169">
        <v>567407085</v>
      </c>
      <c r="F19" s="169">
        <v>567407085</v>
      </c>
      <c r="G19" s="169">
        <v>567407085</v>
      </c>
      <c r="H19" s="169">
        <v>0</v>
      </c>
      <c r="I19"/>
      <c r="J19"/>
      <c r="K19"/>
      <c r="L19"/>
      <c r="M19"/>
      <c r="N19"/>
      <c r="O19"/>
      <c r="P19"/>
      <c r="Q19"/>
      <c r="R19"/>
      <c r="S19"/>
      <c r="T19"/>
      <c r="U19"/>
    </row>
    <row r="20" spans="1:21">
      <c r="A20" s="95" t="s">
        <v>175</v>
      </c>
      <c r="B20" s="169">
        <v>2060000000</v>
      </c>
      <c r="C20" s="169">
        <v>2060000000</v>
      </c>
      <c r="D20" s="169">
        <v>847658568.5</v>
      </c>
      <c r="E20" s="169">
        <v>764831743.5</v>
      </c>
      <c r="F20" s="169">
        <v>722449067.5</v>
      </c>
      <c r="G20" s="169">
        <v>722449067.5</v>
      </c>
      <c r="H20" s="169">
        <v>0</v>
      </c>
      <c r="I20"/>
      <c r="J20"/>
      <c r="K20"/>
      <c r="L20"/>
      <c r="M20"/>
      <c r="N20"/>
      <c r="O20"/>
      <c r="P20"/>
      <c r="Q20"/>
      <c r="R20"/>
      <c r="S20"/>
      <c r="T20"/>
      <c r="U20"/>
    </row>
    <row r="21" spans="1:21">
      <c r="A21" s="95" t="s">
        <v>178</v>
      </c>
      <c r="B21" s="169">
        <v>2060000000</v>
      </c>
      <c r="C21" s="169">
        <v>2060000000</v>
      </c>
      <c r="D21" s="169">
        <v>1387214628</v>
      </c>
      <c r="E21" s="169">
        <v>1328338822</v>
      </c>
      <c r="F21" s="169">
        <v>1288156825</v>
      </c>
      <c r="G21" s="169">
        <v>1263483953</v>
      </c>
      <c r="H21" s="169">
        <v>0</v>
      </c>
      <c r="I21"/>
      <c r="J21"/>
      <c r="K21"/>
      <c r="L21"/>
      <c r="M21"/>
      <c r="N21"/>
      <c r="O21"/>
      <c r="P21"/>
      <c r="Q21"/>
      <c r="R21"/>
      <c r="S21"/>
      <c r="T21"/>
      <c r="U21"/>
    </row>
    <row r="22" spans="1:21">
      <c r="A22" s="95" t="s">
        <v>211</v>
      </c>
      <c r="B22" s="169">
        <v>128770000</v>
      </c>
      <c r="C22" s="169">
        <v>128770000</v>
      </c>
      <c r="D22" s="169">
        <v>128770000</v>
      </c>
      <c r="E22" s="169">
        <v>25412615</v>
      </c>
      <c r="F22" s="169">
        <v>25412615</v>
      </c>
      <c r="G22" s="169">
        <v>25412615</v>
      </c>
      <c r="H22" s="169">
        <v>0</v>
      </c>
      <c r="I22"/>
      <c r="J22"/>
      <c r="K22"/>
      <c r="L22"/>
      <c r="M22"/>
      <c r="N22"/>
      <c r="O22"/>
      <c r="P22"/>
      <c r="Q22"/>
      <c r="R22"/>
      <c r="S22"/>
      <c r="T22"/>
      <c r="U22"/>
    </row>
    <row r="23" spans="1:21">
      <c r="A23" s="179" t="s">
        <v>180</v>
      </c>
      <c r="B23" s="169">
        <v>288258000</v>
      </c>
      <c r="C23" s="169">
        <v>288258000</v>
      </c>
      <c r="D23" s="169">
        <v>2926855.38</v>
      </c>
      <c r="E23" s="169">
        <v>2903855.38</v>
      </c>
      <c r="F23" s="169">
        <v>2903855.38</v>
      </c>
      <c r="G23" s="169">
        <v>2903855.38</v>
      </c>
      <c r="H23" s="169">
        <v>0</v>
      </c>
      <c r="I23"/>
      <c r="J23"/>
      <c r="K23"/>
      <c r="L23"/>
      <c r="M23"/>
      <c r="N23"/>
      <c r="O23"/>
      <c r="P23"/>
      <c r="Q23"/>
      <c r="R23"/>
      <c r="S23"/>
      <c r="T23"/>
      <c r="U23"/>
    </row>
    <row r="24" spans="1:21">
      <c r="A24" s="95" t="s">
        <v>181</v>
      </c>
      <c r="B24" s="169">
        <v>51500000</v>
      </c>
      <c r="C24" s="169">
        <v>51500000</v>
      </c>
      <c r="D24" s="169">
        <v>2342000</v>
      </c>
      <c r="E24" s="169">
        <v>2319000</v>
      </c>
      <c r="F24" s="169">
        <v>2319000</v>
      </c>
      <c r="G24" s="169">
        <v>2319000</v>
      </c>
      <c r="H24" s="169">
        <v>0</v>
      </c>
      <c r="I24"/>
      <c r="J24"/>
      <c r="K24"/>
      <c r="L24"/>
      <c r="M24"/>
      <c r="N24"/>
      <c r="O24"/>
      <c r="P24"/>
      <c r="Q24"/>
      <c r="R24"/>
      <c r="S24"/>
      <c r="T24"/>
      <c r="U24"/>
    </row>
    <row r="25" spans="1:21">
      <c r="A25" s="95" t="s">
        <v>183</v>
      </c>
      <c r="B25" s="169">
        <v>236758000</v>
      </c>
      <c r="C25" s="169">
        <v>236758000</v>
      </c>
      <c r="D25" s="169">
        <v>584855.38</v>
      </c>
      <c r="E25" s="169">
        <v>584855.38</v>
      </c>
      <c r="F25" s="169">
        <v>584855.38</v>
      </c>
      <c r="G25" s="169">
        <v>584855.38</v>
      </c>
      <c r="H25" s="169">
        <v>0</v>
      </c>
      <c r="I25"/>
      <c r="J25"/>
      <c r="K25"/>
      <c r="L25"/>
      <c r="M25"/>
      <c r="N25"/>
      <c r="O25"/>
      <c r="P25"/>
      <c r="Q25"/>
      <c r="R25"/>
      <c r="S25"/>
      <c r="T25"/>
      <c r="U25"/>
    </row>
    <row r="26" spans="1:21">
      <c r="A26" s="179" t="s">
        <v>45</v>
      </c>
      <c r="B26" s="169">
        <v>161536218750</v>
      </c>
      <c r="C26" s="169">
        <v>165336840329</v>
      </c>
      <c r="D26" s="169">
        <v>127124038667.31999</v>
      </c>
      <c r="E26" s="169">
        <v>124716523435.08002</v>
      </c>
      <c r="F26" s="169">
        <v>86689584024.970001</v>
      </c>
      <c r="G26" s="169">
        <v>86487559322.970001</v>
      </c>
      <c r="H26" s="169">
        <v>37022819178</v>
      </c>
      <c r="I26"/>
      <c r="J26"/>
      <c r="K26"/>
      <c r="L26"/>
      <c r="M26"/>
      <c r="N26"/>
      <c r="O26"/>
      <c r="P26"/>
      <c r="Q26"/>
      <c r="R26"/>
      <c r="S26"/>
      <c r="T26"/>
      <c r="U26"/>
    </row>
    <row r="27" spans="1:21">
      <c r="A27" s="1" t="s">
        <v>46</v>
      </c>
      <c r="B27" s="169">
        <v>73429205374</v>
      </c>
      <c r="C27" s="169">
        <v>77229826953</v>
      </c>
      <c r="D27" s="169">
        <v>72455256016.929993</v>
      </c>
      <c r="E27" s="169">
        <v>71498312659.850006</v>
      </c>
      <c r="F27" s="169">
        <v>51886015766.849998</v>
      </c>
      <c r="G27" s="169">
        <v>51829312432.849998</v>
      </c>
      <c r="H27" s="169">
        <v>4398019810</v>
      </c>
      <c r="I27"/>
      <c r="J27"/>
      <c r="K27"/>
      <c r="L27"/>
      <c r="M27"/>
      <c r="N27"/>
      <c r="O27"/>
      <c r="P27"/>
      <c r="Q27"/>
      <c r="R27"/>
      <c r="S27"/>
      <c r="T27"/>
      <c r="U27"/>
    </row>
    <row r="28" spans="1:21">
      <c r="A28" s="95" t="s">
        <v>184</v>
      </c>
      <c r="B28" s="169">
        <v>39427254112</v>
      </c>
      <c r="C28" s="169">
        <v>39427254112</v>
      </c>
      <c r="D28" s="169">
        <v>36977225033.800003</v>
      </c>
      <c r="E28" s="169">
        <v>36439505111.800003</v>
      </c>
      <c r="F28" s="169">
        <v>25412302340.91</v>
      </c>
      <c r="G28" s="169">
        <v>25375197640.91</v>
      </c>
      <c r="H28" s="169">
        <v>2424898603</v>
      </c>
      <c r="I28"/>
      <c r="J28"/>
      <c r="K28"/>
      <c r="L28"/>
      <c r="M28"/>
      <c r="N28"/>
      <c r="O28"/>
      <c r="P28"/>
      <c r="Q28"/>
      <c r="R28"/>
      <c r="S28"/>
      <c r="T28"/>
      <c r="U28"/>
    </row>
    <row r="29" spans="1:21">
      <c r="A29" s="95" t="s">
        <v>186</v>
      </c>
      <c r="B29" s="169">
        <v>909785125</v>
      </c>
      <c r="C29" s="169">
        <v>909785125</v>
      </c>
      <c r="D29" s="169">
        <v>896551997</v>
      </c>
      <c r="E29" s="169">
        <v>865951395</v>
      </c>
      <c r="F29" s="169">
        <v>714377466.82000005</v>
      </c>
      <c r="G29" s="169">
        <v>714377466.82000005</v>
      </c>
      <c r="H29" s="169">
        <v>13233128</v>
      </c>
      <c r="I29"/>
      <c r="J29"/>
      <c r="K29"/>
      <c r="L29"/>
      <c r="M29"/>
      <c r="N29"/>
      <c r="O29"/>
      <c r="P29"/>
      <c r="Q29"/>
      <c r="R29"/>
      <c r="S29"/>
      <c r="T29"/>
      <c r="U29"/>
    </row>
    <row r="30" spans="1:21">
      <c r="A30" s="95" t="s">
        <v>189</v>
      </c>
      <c r="B30" s="169">
        <v>3601793401</v>
      </c>
      <c r="C30" s="169">
        <v>3601793401</v>
      </c>
      <c r="D30" s="169">
        <v>3495285424</v>
      </c>
      <c r="E30" s="169">
        <v>3247550082</v>
      </c>
      <c r="F30" s="169">
        <v>2734700495</v>
      </c>
      <c r="G30" s="169">
        <v>2734700495</v>
      </c>
      <c r="H30" s="169">
        <v>102369962</v>
      </c>
      <c r="I30"/>
      <c r="J30"/>
      <c r="K30"/>
      <c r="L30"/>
      <c r="M30"/>
      <c r="N30"/>
      <c r="O30"/>
      <c r="P30"/>
      <c r="Q30"/>
      <c r="R30"/>
      <c r="S30"/>
      <c r="T30"/>
      <c r="U30"/>
    </row>
    <row r="31" spans="1:21">
      <c r="A31" s="95" t="s">
        <v>192</v>
      </c>
      <c r="B31" s="169">
        <v>2591894878</v>
      </c>
      <c r="C31" s="169">
        <v>2591894878</v>
      </c>
      <c r="D31" s="169">
        <v>2541001192.1300001</v>
      </c>
      <c r="E31" s="169">
        <v>2538615454.1300001</v>
      </c>
      <c r="F31" s="169">
        <v>2094994317.6800001</v>
      </c>
      <c r="G31" s="169">
        <v>2094994317.6800001</v>
      </c>
      <c r="H31" s="169">
        <v>46496954</v>
      </c>
      <c r="I31"/>
      <c r="J31"/>
      <c r="K31"/>
      <c r="L31"/>
      <c r="M31"/>
      <c r="N31"/>
      <c r="O31"/>
      <c r="P31"/>
      <c r="Q31"/>
      <c r="R31"/>
      <c r="S31"/>
      <c r="T31"/>
      <c r="U31"/>
    </row>
    <row r="32" spans="1:21">
      <c r="A32" s="95" t="s">
        <v>195</v>
      </c>
      <c r="B32" s="169">
        <v>8032499000</v>
      </c>
      <c r="C32" s="169">
        <v>8032499000</v>
      </c>
      <c r="D32" s="169">
        <v>7823960504</v>
      </c>
      <c r="E32" s="169">
        <v>7775656509</v>
      </c>
      <c r="F32" s="169">
        <v>6260136885.7700005</v>
      </c>
      <c r="G32" s="169">
        <v>6260136885.7700005</v>
      </c>
      <c r="H32" s="169">
        <v>208538496</v>
      </c>
      <c r="I32"/>
      <c r="J32"/>
      <c r="K32"/>
      <c r="L32"/>
      <c r="M32"/>
      <c r="N32"/>
      <c r="O32"/>
      <c r="P32"/>
      <c r="Q32"/>
      <c r="R32"/>
      <c r="S32"/>
      <c r="T32"/>
      <c r="U32"/>
    </row>
    <row r="33" spans="1:21">
      <c r="A33" s="95" t="s">
        <v>198</v>
      </c>
      <c r="B33" s="169">
        <v>8791562000</v>
      </c>
      <c r="C33" s="169">
        <v>8791562000</v>
      </c>
      <c r="D33" s="169">
        <v>7875913563</v>
      </c>
      <c r="E33" s="169">
        <v>7874196438</v>
      </c>
      <c r="F33" s="169">
        <v>5662509768.7299995</v>
      </c>
      <c r="G33" s="169">
        <v>5650009768.7299995</v>
      </c>
      <c r="H33" s="169">
        <v>903497937</v>
      </c>
      <c r="I33"/>
      <c r="J33"/>
      <c r="K33"/>
      <c r="L33"/>
      <c r="M33"/>
      <c r="N33"/>
      <c r="O33"/>
      <c r="P33"/>
      <c r="Q33"/>
      <c r="R33"/>
      <c r="S33"/>
      <c r="T33"/>
      <c r="U33"/>
    </row>
    <row r="34" spans="1:21">
      <c r="A34" s="95" t="s">
        <v>201</v>
      </c>
      <c r="B34" s="169">
        <v>5305076993</v>
      </c>
      <c r="C34" s="169">
        <v>9105698572</v>
      </c>
      <c r="D34" s="169">
        <v>8183523057</v>
      </c>
      <c r="E34" s="169">
        <v>8103815557</v>
      </c>
      <c r="F34" s="169">
        <v>5317888604.3800001</v>
      </c>
      <c r="G34" s="169">
        <v>5312795316.3800001</v>
      </c>
      <c r="H34" s="169">
        <v>594332657</v>
      </c>
      <c r="I34"/>
      <c r="J34"/>
      <c r="K34"/>
      <c r="L34"/>
      <c r="M34"/>
      <c r="N34"/>
      <c r="O34"/>
      <c r="P34"/>
      <c r="Q34"/>
      <c r="R34"/>
      <c r="S34"/>
      <c r="T34"/>
      <c r="U34"/>
    </row>
    <row r="35" spans="1:21">
      <c r="A35" s="95" t="s">
        <v>204</v>
      </c>
      <c r="B35" s="169">
        <v>4769339865</v>
      </c>
      <c r="C35" s="169">
        <v>4769339865</v>
      </c>
      <c r="D35" s="169">
        <v>4661795246</v>
      </c>
      <c r="E35" s="169">
        <v>4653022112.9200001</v>
      </c>
      <c r="F35" s="169">
        <v>3689105887.5599999</v>
      </c>
      <c r="G35" s="169">
        <v>3687100541.5599999</v>
      </c>
      <c r="H35" s="169">
        <v>104652073</v>
      </c>
      <c r="I35"/>
      <c r="J35"/>
      <c r="K35"/>
      <c r="L35"/>
      <c r="M35"/>
      <c r="N35"/>
      <c r="O35"/>
      <c r="P35"/>
      <c r="Q35"/>
      <c r="R35"/>
      <c r="S35"/>
      <c r="T35"/>
      <c r="U35"/>
    </row>
    <row r="36" spans="1:21">
      <c r="A36" s="1" t="s">
        <v>52</v>
      </c>
      <c r="B36" s="169">
        <v>88107013376</v>
      </c>
      <c r="C36" s="169">
        <v>88107013376</v>
      </c>
      <c r="D36" s="169">
        <v>54668782650.389999</v>
      </c>
      <c r="E36" s="169">
        <v>53218210775.230003</v>
      </c>
      <c r="F36" s="169">
        <v>34803568258.119995</v>
      </c>
      <c r="G36" s="169">
        <v>34658246890.119995</v>
      </c>
      <c r="H36" s="169">
        <v>32624799368</v>
      </c>
      <c r="I36"/>
      <c r="J36"/>
      <c r="K36"/>
      <c r="L36"/>
      <c r="M36"/>
      <c r="N36"/>
      <c r="O36"/>
      <c r="P36"/>
      <c r="Q36"/>
      <c r="R36"/>
      <c r="S36"/>
      <c r="T36"/>
      <c r="U36"/>
    </row>
    <row r="37" spans="1:21">
      <c r="A37" s="95" t="s">
        <v>138</v>
      </c>
      <c r="B37" s="169">
        <v>30262520191</v>
      </c>
      <c r="C37" s="169">
        <v>0</v>
      </c>
      <c r="D37" s="169">
        <v>0</v>
      </c>
      <c r="E37" s="169">
        <v>0</v>
      </c>
      <c r="F37" s="169">
        <v>0</v>
      </c>
      <c r="G37" s="169">
        <v>0</v>
      </c>
      <c r="H37" s="169">
        <v>0</v>
      </c>
      <c r="I37"/>
      <c r="J37"/>
      <c r="K37"/>
      <c r="L37"/>
      <c r="M37"/>
      <c r="N37"/>
      <c r="O37"/>
      <c r="P37"/>
      <c r="Q37"/>
      <c r="R37"/>
      <c r="S37"/>
      <c r="T37"/>
      <c r="U37"/>
    </row>
    <row r="38" spans="1:21">
      <c r="A38" s="95" t="s">
        <v>205</v>
      </c>
      <c r="B38" s="169">
        <v>28050706799</v>
      </c>
      <c r="C38" s="169">
        <v>28050706799</v>
      </c>
      <c r="D38" s="169">
        <v>26696738646.080002</v>
      </c>
      <c r="E38" s="169">
        <v>26519401117.080002</v>
      </c>
      <c r="F38" s="169">
        <v>16326415474</v>
      </c>
      <c r="G38" s="169">
        <v>16181094106</v>
      </c>
      <c r="H38" s="169">
        <v>1129483691</v>
      </c>
      <c r="I38"/>
      <c r="J38"/>
      <c r="K38"/>
      <c r="L38"/>
      <c r="M38"/>
      <c r="N38"/>
      <c r="O38"/>
      <c r="P38"/>
      <c r="Q38"/>
      <c r="R38"/>
      <c r="S38"/>
      <c r="T38"/>
      <c r="U38"/>
    </row>
    <row r="39" spans="1:21">
      <c r="A39" s="95" t="s">
        <v>206</v>
      </c>
      <c r="B39" s="169">
        <v>25661863246</v>
      </c>
      <c r="C39" s="169">
        <v>25661863246</v>
      </c>
      <c r="D39" s="169">
        <v>24469562983.310001</v>
      </c>
      <c r="E39" s="169">
        <v>23216318606.150002</v>
      </c>
      <c r="F39" s="169">
        <v>15968639626.27</v>
      </c>
      <c r="G39" s="169">
        <v>15968639626.27</v>
      </c>
      <c r="H39" s="169">
        <v>607432366</v>
      </c>
      <c r="I39"/>
      <c r="J39"/>
      <c r="K39"/>
      <c r="L39"/>
      <c r="M39"/>
      <c r="N39"/>
      <c r="O39"/>
      <c r="P39"/>
      <c r="Q39"/>
      <c r="R39"/>
      <c r="S39"/>
      <c r="T39"/>
      <c r="U39"/>
    </row>
    <row r="40" spans="1:21">
      <c r="A40" s="95" t="s">
        <v>208</v>
      </c>
      <c r="B40" s="169">
        <v>773529015</v>
      </c>
      <c r="C40" s="169">
        <v>773529015</v>
      </c>
      <c r="D40" s="169">
        <v>586063519</v>
      </c>
      <c r="E40" s="169">
        <v>586063519</v>
      </c>
      <c r="F40" s="169">
        <v>320540608.85000002</v>
      </c>
      <c r="G40" s="169">
        <v>320540608.85000002</v>
      </c>
      <c r="H40" s="169">
        <v>187465496</v>
      </c>
    </row>
    <row r="41" spans="1:21">
      <c r="A41" s="95" t="s">
        <v>210</v>
      </c>
      <c r="B41" s="169">
        <v>3358394125</v>
      </c>
      <c r="C41" s="169">
        <v>3358394125</v>
      </c>
      <c r="D41" s="169">
        <v>2916417502</v>
      </c>
      <c r="E41" s="169">
        <v>2896427533</v>
      </c>
      <c r="F41" s="169">
        <v>2187972549</v>
      </c>
      <c r="G41" s="169">
        <v>2187972549</v>
      </c>
      <c r="H41" s="169">
        <v>437897624</v>
      </c>
    </row>
    <row r="42" spans="1:21">
      <c r="A42" s="95" t="s">
        <v>216</v>
      </c>
      <c r="B42" s="169">
        <v>0</v>
      </c>
      <c r="C42" s="169">
        <v>30262520191</v>
      </c>
      <c r="D42" s="169">
        <v>0</v>
      </c>
      <c r="E42" s="169">
        <v>0</v>
      </c>
      <c r="F42" s="169">
        <v>0</v>
      </c>
      <c r="G42" s="169">
        <v>0</v>
      </c>
      <c r="H42" s="169">
        <v>30262520191</v>
      </c>
    </row>
    <row r="43" spans="1:21">
      <c r="A43" s="179" t="s">
        <v>54</v>
      </c>
      <c r="B43" s="169">
        <v>240291898618</v>
      </c>
      <c r="C43" s="169">
        <v>244092520197</v>
      </c>
      <c r="D43" s="169">
        <v>201375249412</v>
      </c>
      <c r="E43" s="169">
        <v>187231231878.29999</v>
      </c>
      <c r="F43" s="169">
        <v>145920252784.19</v>
      </c>
      <c r="G43" s="169">
        <v>145688427360.19</v>
      </c>
      <c r="H43" s="169">
        <v>38625766178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A42"/>
  <sheetViews>
    <sheetView showGridLines="0" topLeftCell="O1" workbookViewId="0">
      <selection sqref="A1:XFD1048576"/>
    </sheetView>
  </sheetViews>
  <sheetFormatPr baseColWidth="10" defaultRowHeight="15"/>
  <cols>
    <col min="1" max="1" width="13.42578125" style="226" customWidth="1"/>
    <col min="2" max="2" width="27" style="226" customWidth="1"/>
    <col min="3" max="3" width="21.5703125" style="226" customWidth="1"/>
    <col min="4" max="11" width="5.42578125" style="226" customWidth="1"/>
    <col min="12" max="12" width="7" style="226" customWidth="1"/>
    <col min="13" max="13" width="9.5703125" style="226" customWidth="1"/>
    <col min="14" max="14" width="8" style="226" customWidth="1"/>
    <col min="15" max="15" width="9.5703125" style="226" customWidth="1"/>
    <col min="16" max="16" width="27.5703125" style="226" customWidth="1"/>
    <col min="17" max="27" width="18.85546875" style="226" customWidth="1"/>
    <col min="28" max="28" width="0" style="226" hidden="1" customWidth="1"/>
    <col min="29" max="29" width="6.42578125" style="226" customWidth="1"/>
    <col min="30" max="16384" width="11.42578125" style="226"/>
  </cols>
  <sheetData>
    <row r="1" spans="1:27">
      <c r="A1" s="224" t="s">
        <v>0</v>
      </c>
      <c r="B1" s="224">
        <v>2019</v>
      </c>
      <c r="C1" s="225" t="s">
        <v>1</v>
      </c>
      <c r="D1" s="225" t="s">
        <v>1</v>
      </c>
      <c r="E1" s="225" t="s">
        <v>1</v>
      </c>
      <c r="F1" s="225" t="s">
        <v>1</v>
      </c>
      <c r="G1" s="225" t="s">
        <v>1</v>
      </c>
      <c r="H1" s="225" t="s">
        <v>1</v>
      </c>
      <c r="I1" s="225" t="s">
        <v>1</v>
      </c>
      <c r="J1" s="225" t="s">
        <v>1</v>
      </c>
      <c r="K1" s="225" t="s">
        <v>1</v>
      </c>
      <c r="L1" s="225" t="s">
        <v>1</v>
      </c>
      <c r="M1" s="225" t="s">
        <v>1</v>
      </c>
      <c r="N1" s="225" t="s">
        <v>1</v>
      </c>
      <c r="O1" s="225" t="s">
        <v>1</v>
      </c>
      <c r="P1" s="225" t="s">
        <v>1</v>
      </c>
      <c r="Q1" s="225" t="s">
        <v>1</v>
      </c>
      <c r="R1" s="225" t="s">
        <v>1</v>
      </c>
      <c r="S1" s="225" t="s">
        <v>1</v>
      </c>
      <c r="T1" s="225" t="s">
        <v>1</v>
      </c>
      <c r="U1" s="225" t="s">
        <v>1</v>
      </c>
      <c r="V1" s="225" t="s">
        <v>1</v>
      </c>
      <c r="W1" s="225" t="s">
        <v>1</v>
      </c>
      <c r="X1" s="225" t="s">
        <v>1</v>
      </c>
      <c r="Y1" s="225" t="s">
        <v>1</v>
      </c>
      <c r="Z1" s="225" t="s">
        <v>1</v>
      </c>
      <c r="AA1" s="225" t="s">
        <v>1</v>
      </c>
    </row>
    <row r="2" spans="1:27">
      <c r="A2" s="224" t="s">
        <v>2</v>
      </c>
      <c r="B2" s="224" t="s">
        <v>3</v>
      </c>
      <c r="C2" s="225" t="s">
        <v>1</v>
      </c>
      <c r="D2" s="225" t="s">
        <v>1</v>
      </c>
      <c r="E2" s="225" t="s">
        <v>1</v>
      </c>
      <c r="F2" s="225" t="s">
        <v>1</v>
      </c>
      <c r="G2" s="225" t="s">
        <v>1</v>
      </c>
      <c r="H2" s="225" t="s">
        <v>1</v>
      </c>
      <c r="I2" s="225" t="s">
        <v>1</v>
      </c>
      <c r="J2" s="225" t="s">
        <v>1</v>
      </c>
      <c r="K2" s="225" t="s">
        <v>1</v>
      </c>
      <c r="L2" s="225" t="s">
        <v>1</v>
      </c>
      <c r="M2" s="225" t="s">
        <v>1</v>
      </c>
      <c r="N2" s="225" t="s">
        <v>1</v>
      </c>
      <c r="O2" s="225" t="s">
        <v>1</v>
      </c>
      <c r="P2" s="225" t="s">
        <v>1</v>
      </c>
      <c r="Q2" s="225" t="s">
        <v>1</v>
      </c>
      <c r="R2" s="225" t="s">
        <v>1</v>
      </c>
      <c r="S2" s="225" t="s">
        <v>1</v>
      </c>
      <c r="T2" s="225" t="s">
        <v>1</v>
      </c>
      <c r="U2" s="225" t="s">
        <v>1</v>
      </c>
      <c r="V2" s="225" t="s">
        <v>1</v>
      </c>
      <c r="W2" s="225" t="s">
        <v>1</v>
      </c>
      <c r="X2" s="225" t="s">
        <v>1</v>
      </c>
      <c r="Y2" s="225" t="s">
        <v>1</v>
      </c>
      <c r="Z2" s="225" t="s">
        <v>1</v>
      </c>
      <c r="AA2" s="225" t="s">
        <v>1</v>
      </c>
    </row>
    <row r="3" spans="1:27">
      <c r="A3" s="224" t="s">
        <v>4</v>
      </c>
      <c r="B3" s="224" t="s">
        <v>218</v>
      </c>
      <c r="C3" s="225" t="s">
        <v>1</v>
      </c>
      <c r="D3" s="225" t="s">
        <v>1</v>
      </c>
      <c r="E3" s="225" t="s">
        <v>1</v>
      </c>
      <c r="F3" s="225" t="s">
        <v>1</v>
      </c>
      <c r="G3" s="225" t="s">
        <v>1</v>
      </c>
      <c r="H3" s="225" t="s">
        <v>1</v>
      </c>
      <c r="I3" s="225" t="s">
        <v>1</v>
      </c>
      <c r="J3" s="225" t="s">
        <v>1</v>
      </c>
      <c r="K3" s="225" t="s">
        <v>1</v>
      </c>
      <c r="L3" s="225" t="s">
        <v>1</v>
      </c>
      <c r="M3" s="225" t="s">
        <v>1</v>
      </c>
      <c r="N3" s="225" t="s">
        <v>1</v>
      </c>
      <c r="O3" s="225" t="s">
        <v>1</v>
      </c>
      <c r="P3" s="225" t="s">
        <v>1</v>
      </c>
      <c r="Q3" s="225" t="s">
        <v>1</v>
      </c>
      <c r="R3" s="225" t="s">
        <v>1</v>
      </c>
      <c r="S3" s="225" t="s">
        <v>1</v>
      </c>
      <c r="T3" s="225" t="s">
        <v>1</v>
      </c>
      <c r="U3" s="225" t="s">
        <v>1</v>
      </c>
      <c r="V3" s="225" t="s">
        <v>1</v>
      </c>
      <c r="W3" s="225" t="s">
        <v>1</v>
      </c>
      <c r="X3" s="225" t="s">
        <v>1</v>
      </c>
      <c r="Y3" s="225" t="s">
        <v>1</v>
      </c>
      <c r="Z3" s="225" t="s">
        <v>1</v>
      </c>
      <c r="AA3" s="225" t="s">
        <v>1</v>
      </c>
    </row>
    <row r="4" spans="1:27" ht="24">
      <c r="A4" s="224" t="s">
        <v>6</v>
      </c>
      <c r="B4" s="224" t="s">
        <v>7</v>
      </c>
      <c r="C4" s="224" t="s">
        <v>8</v>
      </c>
      <c r="D4" s="224" t="s">
        <v>9</v>
      </c>
      <c r="E4" s="224" t="s">
        <v>10</v>
      </c>
      <c r="F4" s="224" t="s">
        <v>11</v>
      </c>
      <c r="G4" s="224" t="s">
        <v>12</v>
      </c>
      <c r="H4" s="224" t="s">
        <v>13</v>
      </c>
      <c r="I4" s="224" t="s">
        <v>14</v>
      </c>
      <c r="J4" s="224" t="s">
        <v>15</v>
      </c>
      <c r="K4" s="224" t="s">
        <v>16</v>
      </c>
      <c r="L4" s="224" t="s">
        <v>143</v>
      </c>
      <c r="M4" s="224" t="s">
        <v>17</v>
      </c>
      <c r="N4" s="224" t="s">
        <v>18</v>
      </c>
      <c r="O4" s="224" t="s">
        <v>19</v>
      </c>
      <c r="P4" s="224" t="s">
        <v>20</v>
      </c>
      <c r="Q4" s="224" t="s">
        <v>21</v>
      </c>
      <c r="R4" s="224" t="s">
        <v>22</v>
      </c>
      <c r="S4" s="224" t="s">
        <v>23</v>
      </c>
      <c r="T4" s="224" t="s">
        <v>24</v>
      </c>
      <c r="U4" s="224" t="s">
        <v>25</v>
      </c>
      <c r="V4" s="224" t="s">
        <v>26</v>
      </c>
      <c r="W4" s="224" t="s">
        <v>27</v>
      </c>
      <c r="X4" s="224" t="s">
        <v>28</v>
      </c>
      <c r="Y4" s="224" t="s">
        <v>29</v>
      </c>
      <c r="Z4" s="224" t="s">
        <v>30</v>
      </c>
      <c r="AA4" s="224" t="s">
        <v>31</v>
      </c>
    </row>
    <row r="5" spans="1:27" ht="22.5">
      <c r="A5" s="227" t="s">
        <v>32</v>
      </c>
      <c r="B5" s="228" t="s">
        <v>33</v>
      </c>
      <c r="C5" s="229" t="s">
        <v>144</v>
      </c>
      <c r="D5" s="227" t="s">
        <v>34</v>
      </c>
      <c r="E5" s="227" t="s">
        <v>145</v>
      </c>
      <c r="F5" s="227" t="s">
        <v>145</v>
      </c>
      <c r="G5" s="227" t="s">
        <v>145</v>
      </c>
      <c r="H5" s="227"/>
      <c r="I5" s="227"/>
      <c r="J5" s="227"/>
      <c r="K5" s="227"/>
      <c r="L5" s="227"/>
      <c r="M5" s="227" t="s">
        <v>35</v>
      </c>
      <c r="N5" s="227" t="s">
        <v>36</v>
      </c>
      <c r="O5" s="227" t="s">
        <v>37</v>
      </c>
      <c r="P5" s="228" t="s">
        <v>146</v>
      </c>
      <c r="Q5" s="230">
        <v>40628002000</v>
      </c>
      <c r="R5" s="230">
        <v>1507434000</v>
      </c>
      <c r="S5" s="230">
        <v>7200000000</v>
      </c>
      <c r="T5" s="230">
        <v>34935436000</v>
      </c>
      <c r="U5" s="230">
        <v>0</v>
      </c>
      <c r="V5" s="230">
        <v>34935436000</v>
      </c>
      <c r="W5" s="230">
        <v>0</v>
      </c>
      <c r="X5" s="230">
        <v>29453696464</v>
      </c>
      <c r="Y5" s="230">
        <v>29147718774</v>
      </c>
      <c r="Z5" s="230">
        <v>29147718774</v>
      </c>
      <c r="AA5" s="230">
        <v>29147718774</v>
      </c>
    </row>
    <row r="6" spans="1:27" ht="22.5">
      <c r="A6" s="227" t="s">
        <v>32</v>
      </c>
      <c r="B6" s="228" t="s">
        <v>33</v>
      </c>
      <c r="C6" s="229" t="s">
        <v>147</v>
      </c>
      <c r="D6" s="227" t="s">
        <v>34</v>
      </c>
      <c r="E6" s="227" t="s">
        <v>145</v>
      </c>
      <c r="F6" s="227" t="s">
        <v>145</v>
      </c>
      <c r="G6" s="227" t="s">
        <v>148</v>
      </c>
      <c r="H6" s="227"/>
      <c r="I6" s="227"/>
      <c r="J6" s="227"/>
      <c r="K6" s="227"/>
      <c r="L6" s="227"/>
      <c r="M6" s="227" t="s">
        <v>35</v>
      </c>
      <c r="N6" s="227" t="s">
        <v>36</v>
      </c>
      <c r="O6" s="227" t="s">
        <v>37</v>
      </c>
      <c r="P6" s="228" t="s">
        <v>149</v>
      </c>
      <c r="Q6" s="230">
        <v>13022354000</v>
      </c>
      <c r="R6" s="230">
        <v>205850000</v>
      </c>
      <c r="S6" s="230">
        <v>0</v>
      </c>
      <c r="T6" s="230">
        <v>13228204000</v>
      </c>
      <c r="U6" s="230">
        <v>0</v>
      </c>
      <c r="V6" s="230">
        <v>13022354000</v>
      </c>
      <c r="W6" s="230">
        <v>205850000</v>
      </c>
      <c r="X6" s="230">
        <v>10700267874</v>
      </c>
      <c r="Y6" s="230">
        <v>10700267872</v>
      </c>
      <c r="Z6" s="230">
        <v>10700267872</v>
      </c>
      <c r="AA6" s="230">
        <v>10700267872</v>
      </c>
    </row>
    <row r="7" spans="1:27" ht="33.75">
      <c r="A7" s="227" t="s">
        <v>32</v>
      </c>
      <c r="B7" s="228" t="s">
        <v>33</v>
      </c>
      <c r="C7" s="229" t="s">
        <v>150</v>
      </c>
      <c r="D7" s="227" t="s">
        <v>34</v>
      </c>
      <c r="E7" s="227" t="s">
        <v>145</v>
      </c>
      <c r="F7" s="227" t="s">
        <v>145</v>
      </c>
      <c r="G7" s="227" t="s">
        <v>151</v>
      </c>
      <c r="H7" s="227"/>
      <c r="I7" s="227"/>
      <c r="J7" s="227"/>
      <c r="K7" s="227"/>
      <c r="L7" s="227"/>
      <c r="M7" s="227" t="s">
        <v>35</v>
      </c>
      <c r="N7" s="227" t="s">
        <v>36</v>
      </c>
      <c r="O7" s="227" t="s">
        <v>37</v>
      </c>
      <c r="P7" s="228" t="s">
        <v>152</v>
      </c>
      <c r="Q7" s="230">
        <v>3243609000</v>
      </c>
      <c r="R7" s="230">
        <v>7200000000</v>
      </c>
      <c r="S7" s="230">
        <v>0</v>
      </c>
      <c r="T7" s="230">
        <v>10443609000</v>
      </c>
      <c r="U7" s="230">
        <v>0</v>
      </c>
      <c r="V7" s="230">
        <v>10443609000</v>
      </c>
      <c r="W7" s="230">
        <v>0</v>
      </c>
      <c r="X7" s="230">
        <v>7065207939</v>
      </c>
      <c r="Y7" s="230">
        <v>7019636925</v>
      </c>
      <c r="Z7" s="230">
        <v>7019636925</v>
      </c>
      <c r="AA7" s="230">
        <v>7019636925</v>
      </c>
    </row>
    <row r="8" spans="1:27" ht="33.75">
      <c r="A8" s="227" t="s">
        <v>32</v>
      </c>
      <c r="B8" s="228" t="s">
        <v>33</v>
      </c>
      <c r="C8" s="229" t="s">
        <v>153</v>
      </c>
      <c r="D8" s="227" t="s">
        <v>34</v>
      </c>
      <c r="E8" s="227" t="s">
        <v>145</v>
      </c>
      <c r="F8" s="227" t="s">
        <v>145</v>
      </c>
      <c r="G8" s="227" t="s">
        <v>154</v>
      </c>
      <c r="H8" s="227"/>
      <c r="I8" s="227"/>
      <c r="J8" s="227"/>
      <c r="K8" s="227"/>
      <c r="L8" s="227"/>
      <c r="M8" s="227" t="s">
        <v>35</v>
      </c>
      <c r="N8" s="227" t="s">
        <v>36</v>
      </c>
      <c r="O8" s="227" t="s">
        <v>37</v>
      </c>
      <c r="P8" s="228" t="s">
        <v>213</v>
      </c>
      <c r="Q8" s="230">
        <v>1870031000</v>
      </c>
      <c r="R8" s="230">
        <v>0</v>
      </c>
      <c r="S8" s="230">
        <v>1713284000</v>
      </c>
      <c r="T8" s="230">
        <v>156747000</v>
      </c>
      <c r="U8" s="230">
        <v>156747000</v>
      </c>
      <c r="V8" s="230">
        <v>0</v>
      </c>
      <c r="W8" s="230">
        <v>0</v>
      </c>
      <c r="X8" s="230">
        <v>0</v>
      </c>
      <c r="Y8" s="230">
        <v>0</v>
      </c>
      <c r="Z8" s="230">
        <v>0</v>
      </c>
      <c r="AA8" s="230">
        <v>0</v>
      </c>
    </row>
    <row r="9" spans="1:27" ht="22.5">
      <c r="A9" s="227" t="s">
        <v>32</v>
      </c>
      <c r="B9" s="228" t="s">
        <v>33</v>
      </c>
      <c r="C9" s="229" t="s">
        <v>219</v>
      </c>
      <c r="D9" s="227" t="s">
        <v>34</v>
      </c>
      <c r="E9" s="227" t="s">
        <v>145</v>
      </c>
      <c r="F9" s="227" t="s">
        <v>148</v>
      </c>
      <c r="G9" s="227" t="s">
        <v>148</v>
      </c>
      <c r="H9" s="227"/>
      <c r="I9" s="227"/>
      <c r="J9" s="227"/>
      <c r="K9" s="227"/>
      <c r="L9" s="227"/>
      <c r="M9" s="227" t="s">
        <v>35</v>
      </c>
      <c r="N9" s="227" t="s">
        <v>36</v>
      </c>
      <c r="O9" s="227" t="s">
        <v>37</v>
      </c>
      <c r="P9" s="228" t="s">
        <v>220</v>
      </c>
      <c r="Q9" s="230">
        <v>0</v>
      </c>
      <c r="R9" s="230">
        <v>205850000</v>
      </c>
      <c r="S9" s="230">
        <v>205850000</v>
      </c>
      <c r="T9" s="230">
        <v>0</v>
      </c>
      <c r="U9" s="230">
        <v>0</v>
      </c>
      <c r="V9" s="230">
        <v>0</v>
      </c>
      <c r="W9" s="230">
        <v>0</v>
      </c>
      <c r="X9" s="230">
        <v>0</v>
      </c>
      <c r="Y9" s="230">
        <v>0</v>
      </c>
      <c r="Z9" s="230">
        <v>0</v>
      </c>
      <c r="AA9" s="230">
        <v>0</v>
      </c>
    </row>
    <row r="10" spans="1:27" ht="22.5">
      <c r="A10" s="227" t="s">
        <v>32</v>
      </c>
      <c r="B10" s="228" t="s">
        <v>33</v>
      </c>
      <c r="C10" s="229" t="s">
        <v>155</v>
      </c>
      <c r="D10" s="227" t="s">
        <v>34</v>
      </c>
      <c r="E10" s="227" t="s">
        <v>148</v>
      </c>
      <c r="F10" s="227" t="s">
        <v>145</v>
      </c>
      <c r="G10" s="227"/>
      <c r="H10" s="227"/>
      <c r="I10" s="227"/>
      <c r="J10" s="227"/>
      <c r="K10" s="227"/>
      <c r="L10" s="227"/>
      <c r="M10" s="227" t="s">
        <v>35</v>
      </c>
      <c r="N10" s="227" t="s">
        <v>36</v>
      </c>
      <c r="O10" s="227" t="s">
        <v>37</v>
      </c>
      <c r="P10" s="228" t="s">
        <v>156</v>
      </c>
      <c r="Q10" s="230">
        <v>10000000</v>
      </c>
      <c r="R10" s="230">
        <v>0</v>
      </c>
      <c r="S10" s="230">
        <v>0</v>
      </c>
      <c r="T10" s="230">
        <v>10000000</v>
      </c>
      <c r="U10" s="230">
        <v>0</v>
      </c>
      <c r="V10" s="230">
        <v>8237399</v>
      </c>
      <c r="W10" s="230">
        <v>1762601</v>
      </c>
      <c r="X10" s="230">
        <v>7781279</v>
      </c>
      <c r="Y10" s="230">
        <v>7758134</v>
      </c>
      <c r="Z10" s="230">
        <v>7758134</v>
      </c>
      <c r="AA10" s="230">
        <v>7758134</v>
      </c>
    </row>
    <row r="11" spans="1:27" ht="22.5">
      <c r="A11" s="227" t="s">
        <v>32</v>
      </c>
      <c r="B11" s="228" t="s">
        <v>33</v>
      </c>
      <c r="C11" s="229" t="s">
        <v>157</v>
      </c>
      <c r="D11" s="227" t="s">
        <v>34</v>
      </c>
      <c r="E11" s="227" t="s">
        <v>148</v>
      </c>
      <c r="F11" s="227" t="s">
        <v>148</v>
      </c>
      <c r="G11" s="227"/>
      <c r="H11" s="227"/>
      <c r="I11" s="227"/>
      <c r="J11" s="227"/>
      <c r="K11" s="227"/>
      <c r="L11" s="227"/>
      <c r="M11" s="227" t="s">
        <v>35</v>
      </c>
      <c r="N11" s="227" t="s">
        <v>36</v>
      </c>
      <c r="O11" s="227" t="s">
        <v>37</v>
      </c>
      <c r="P11" s="228" t="s">
        <v>158</v>
      </c>
      <c r="Q11" s="230">
        <v>12666328868</v>
      </c>
      <c r="R11" s="230">
        <v>0</v>
      </c>
      <c r="S11" s="230">
        <v>0</v>
      </c>
      <c r="T11" s="230">
        <v>12666328868</v>
      </c>
      <c r="U11" s="230">
        <v>0</v>
      </c>
      <c r="V11" s="230">
        <v>12142877293.799999</v>
      </c>
      <c r="W11" s="230">
        <v>523451574.19999999</v>
      </c>
      <c r="X11" s="230">
        <v>11937899497.639999</v>
      </c>
      <c r="Y11" s="230">
        <v>9092896945.5100002</v>
      </c>
      <c r="Z11" s="230">
        <v>9087769095.5100002</v>
      </c>
      <c r="AA11" s="230">
        <v>9087769095.5100002</v>
      </c>
    </row>
    <row r="12" spans="1:27" ht="45">
      <c r="A12" s="227" t="s">
        <v>32</v>
      </c>
      <c r="B12" s="228" t="s">
        <v>33</v>
      </c>
      <c r="C12" s="229" t="s">
        <v>159</v>
      </c>
      <c r="D12" s="227" t="s">
        <v>34</v>
      </c>
      <c r="E12" s="227" t="s">
        <v>151</v>
      </c>
      <c r="F12" s="227" t="s">
        <v>148</v>
      </c>
      <c r="G12" s="227" t="s">
        <v>148</v>
      </c>
      <c r="H12" s="227" t="s">
        <v>160</v>
      </c>
      <c r="I12" s="227"/>
      <c r="J12" s="227"/>
      <c r="K12" s="227"/>
      <c r="L12" s="227"/>
      <c r="M12" s="227" t="s">
        <v>35</v>
      </c>
      <c r="N12" s="227" t="s">
        <v>36</v>
      </c>
      <c r="O12" s="227" t="s">
        <v>37</v>
      </c>
      <c r="P12" s="228" t="s">
        <v>43</v>
      </c>
      <c r="Q12" s="230">
        <v>81269000</v>
      </c>
      <c r="R12" s="230">
        <v>136250000</v>
      </c>
      <c r="S12" s="230">
        <v>0</v>
      </c>
      <c r="T12" s="230">
        <v>217519000</v>
      </c>
      <c r="U12" s="230">
        <v>0</v>
      </c>
      <c r="V12" s="230">
        <v>217519000</v>
      </c>
      <c r="W12" s="230">
        <v>0</v>
      </c>
      <c r="X12" s="230">
        <v>217474561</v>
      </c>
      <c r="Y12" s="230">
        <v>212785459</v>
      </c>
      <c r="Z12" s="230">
        <v>212785459</v>
      </c>
      <c r="AA12" s="230">
        <v>212785459</v>
      </c>
    </row>
    <row r="13" spans="1:27" ht="45">
      <c r="A13" s="227" t="s">
        <v>32</v>
      </c>
      <c r="B13" s="228" t="s">
        <v>33</v>
      </c>
      <c r="C13" s="229" t="s">
        <v>161</v>
      </c>
      <c r="D13" s="227" t="s">
        <v>34</v>
      </c>
      <c r="E13" s="227" t="s">
        <v>151</v>
      </c>
      <c r="F13" s="227" t="s">
        <v>148</v>
      </c>
      <c r="G13" s="227" t="s">
        <v>148</v>
      </c>
      <c r="H13" s="227" t="s">
        <v>162</v>
      </c>
      <c r="I13" s="227"/>
      <c r="J13" s="227"/>
      <c r="K13" s="227"/>
      <c r="L13" s="227"/>
      <c r="M13" s="227" t="s">
        <v>35</v>
      </c>
      <c r="N13" s="227" t="s">
        <v>36</v>
      </c>
      <c r="O13" s="227" t="s">
        <v>37</v>
      </c>
      <c r="P13" s="228" t="s">
        <v>42</v>
      </c>
      <c r="Q13" s="230">
        <v>206493000</v>
      </c>
      <c r="R13" s="230">
        <v>0</v>
      </c>
      <c r="S13" s="230">
        <v>121837000</v>
      </c>
      <c r="T13" s="230">
        <v>84656000</v>
      </c>
      <c r="U13" s="230">
        <v>0</v>
      </c>
      <c r="V13" s="230">
        <v>84656000</v>
      </c>
      <c r="W13" s="230">
        <v>0</v>
      </c>
      <c r="X13" s="230">
        <v>84479553</v>
      </c>
      <c r="Y13" s="230">
        <v>84479553</v>
      </c>
      <c r="Z13" s="230">
        <v>84479553</v>
      </c>
      <c r="AA13" s="230">
        <v>84479553</v>
      </c>
    </row>
    <row r="14" spans="1:27" ht="45">
      <c r="A14" s="227" t="s">
        <v>32</v>
      </c>
      <c r="B14" s="228" t="s">
        <v>33</v>
      </c>
      <c r="C14" s="229" t="s">
        <v>163</v>
      </c>
      <c r="D14" s="227" t="s">
        <v>34</v>
      </c>
      <c r="E14" s="227" t="s">
        <v>151</v>
      </c>
      <c r="F14" s="227" t="s">
        <v>151</v>
      </c>
      <c r="G14" s="227" t="s">
        <v>154</v>
      </c>
      <c r="H14" s="227" t="s">
        <v>164</v>
      </c>
      <c r="I14" s="227"/>
      <c r="J14" s="227"/>
      <c r="K14" s="227"/>
      <c r="L14" s="227"/>
      <c r="M14" s="227" t="s">
        <v>35</v>
      </c>
      <c r="N14" s="227" t="s">
        <v>36</v>
      </c>
      <c r="O14" s="227" t="s">
        <v>37</v>
      </c>
      <c r="P14" s="228" t="s">
        <v>165</v>
      </c>
      <c r="Q14" s="230">
        <v>1446200000</v>
      </c>
      <c r="R14" s="230">
        <v>0</v>
      </c>
      <c r="S14" s="230">
        <v>0</v>
      </c>
      <c r="T14" s="230">
        <v>1446200000</v>
      </c>
      <c r="U14" s="230">
        <v>1446200000</v>
      </c>
      <c r="V14" s="230">
        <v>0</v>
      </c>
      <c r="W14" s="230">
        <v>0</v>
      </c>
      <c r="X14" s="230">
        <v>0</v>
      </c>
      <c r="Y14" s="230">
        <v>0</v>
      </c>
      <c r="Z14" s="230">
        <v>0</v>
      </c>
      <c r="AA14" s="230">
        <v>0</v>
      </c>
    </row>
    <row r="15" spans="1:27" ht="22.5">
      <c r="A15" s="227" t="s">
        <v>32</v>
      </c>
      <c r="B15" s="228" t="s">
        <v>33</v>
      </c>
      <c r="C15" s="229" t="s">
        <v>166</v>
      </c>
      <c r="D15" s="227" t="s">
        <v>34</v>
      </c>
      <c r="E15" s="227" t="s">
        <v>151</v>
      </c>
      <c r="F15" s="227" t="s">
        <v>154</v>
      </c>
      <c r="G15" s="227" t="s">
        <v>148</v>
      </c>
      <c r="H15" s="227" t="s">
        <v>167</v>
      </c>
      <c r="I15" s="227"/>
      <c r="J15" s="227"/>
      <c r="K15" s="227"/>
      <c r="L15" s="227"/>
      <c r="M15" s="227" t="s">
        <v>35</v>
      </c>
      <c r="N15" s="227" t="s">
        <v>36</v>
      </c>
      <c r="O15" s="227" t="s">
        <v>37</v>
      </c>
      <c r="P15" s="228" t="s">
        <v>168</v>
      </c>
      <c r="Q15" s="230">
        <v>418365000</v>
      </c>
      <c r="R15" s="230">
        <v>0</v>
      </c>
      <c r="S15" s="230">
        <v>14413000</v>
      </c>
      <c r="T15" s="230">
        <v>403952000</v>
      </c>
      <c r="U15" s="230">
        <v>0</v>
      </c>
      <c r="V15" s="230">
        <v>403952000</v>
      </c>
      <c r="W15" s="230">
        <v>0</v>
      </c>
      <c r="X15" s="230">
        <v>359007154.69999999</v>
      </c>
      <c r="Y15" s="230">
        <v>358795648.82999998</v>
      </c>
      <c r="Z15" s="230">
        <v>358795648.82999998</v>
      </c>
      <c r="AA15" s="230">
        <v>358795648.82999998</v>
      </c>
    </row>
    <row r="16" spans="1:27" ht="33.75">
      <c r="A16" s="227" t="s">
        <v>32</v>
      </c>
      <c r="B16" s="228" t="s">
        <v>33</v>
      </c>
      <c r="C16" s="229" t="s">
        <v>169</v>
      </c>
      <c r="D16" s="227" t="s">
        <v>34</v>
      </c>
      <c r="E16" s="227" t="s">
        <v>151</v>
      </c>
      <c r="F16" s="227" t="s">
        <v>154</v>
      </c>
      <c r="G16" s="227" t="s">
        <v>148</v>
      </c>
      <c r="H16" s="227" t="s">
        <v>170</v>
      </c>
      <c r="I16" s="227"/>
      <c r="J16" s="227"/>
      <c r="K16" s="227"/>
      <c r="L16" s="227"/>
      <c r="M16" s="227" t="s">
        <v>35</v>
      </c>
      <c r="N16" s="227" t="s">
        <v>36</v>
      </c>
      <c r="O16" s="227" t="s">
        <v>37</v>
      </c>
      <c r="P16" s="228" t="s">
        <v>211</v>
      </c>
      <c r="Q16" s="230">
        <v>128770000</v>
      </c>
      <c r="R16" s="230">
        <v>0</v>
      </c>
      <c r="S16" s="230">
        <v>0</v>
      </c>
      <c r="T16" s="230">
        <v>128770000</v>
      </c>
      <c r="U16" s="230">
        <v>0</v>
      </c>
      <c r="V16" s="230">
        <v>128770000</v>
      </c>
      <c r="W16" s="230">
        <v>0</v>
      </c>
      <c r="X16" s="230">
        <v>25412615</v>
      </c>
      <c r="Y16" s="230">
        <v>25412615</v>
      </c>
      <c r="Z16" s="230">
        <v>25412615</v>
      </c>
      <c r="AA16" s="230">
        <v>25412615</v>
      </c>
    </row>
    <row r="17" spans="1:27" ht="33.75">
      <c r="A17" s="227" t="s">
        <v>32</v>
      </c>
      <c r="B17" s="228" t="s">
        <v>33</v>
      </c>
      <c r="C17" s="229" t="s">
        <v>171</v>
      </c>
      <c r="D17" s="227" t="s">
        <v>34</v>
      </c>
      <c r="E17" s="227" t="s">
        <v>151</v>
      </c>
      <c r="F17" s="227" t="s">
        <v>154</v>
      </c>
      <c r="G17" s="227" t="s">
        <v>148</v>
      </c>
      <c r="H17" s="227" t="s">
        <v>172</v>
      </c>
      <c r="I17" s="227"/>
      <c r="J17" s="227"/>
      <c r="K17" s="227"/>
      <c r="L17" s="227"/>
      <c r="M17" s="227" t="s">
        <v>35</v>
      </c>
      <c r="N17" s="227" t="s">
        <v>36</v>
      </c>
      <c r="O17" s="227" t="s">
        <v>37</v>
      </c>
      <c r="P17" s="228" t="s">
        <v>173</v>
      </c>
      <c r="Q17" s="230">
        <v>626000000</v>
      </c>
      <c r="R17" s="230">
        <v>0</v>
      </c>
      <c r="S17" s="230">
        <v>0</v>
      </c>
      <c r="T17" s="230">
        <v>626000000</v>
      </c>
      <c r="U17" s="230">
        <v>0</v>
      </c>
      <c r="V17" s="230">
        <v>626000000</v>
      </c>
      <c r="W17" s="230">
        <v>0</v>
      </c>
      <c r="X17" s="230">
        <v>567407085</v>
      </c>
      <c r="Y17" s="230">
        <v>567407085</v>
      </c>
      <c r="Z17" s="230">
        <v>567407085</v>
      </c>
      <c r="AA17" s="230">
        <v>567407085</v>
      </c>
    </row>
    <row r="18" spans="1:27" ht="22.5">
      <c r="A18" s="227" t="s">
        <v>32</v>
      </c>
      <c r="B18" s="228" t="s">
        <v>33</v>
      </c>
      <c r="C18" s="229" t="s">
        <v>174</v>
      </c>
      <c r="D18" s="227" t="s">
        <v>34</v>
      </c>
      <c r="E18" s="227" t="s">
        <v>151</v>
      </c>
      <c r="F18" s="227" t="s">
        <v>41</v>
      </c>
      <c r="G18" s="227" t="s">
        <v>145</v>
      </c>
      <c r="H18" s="227" t="s">
        <v>167</v>
      </c>
      <c r="I18" s="227"/>
      <c r="J18" s="227"/>
      <c r="K18" s="227"/>
      <c r="L18" s="227"/>
      <c r="M18" s="227" t="s">
        <v>35</v>
      </c>
      <c r="N18" s="227" t="s">
        <v>36</v>
      </c>
      <c r="O18" s="227" t="s">
        <v>37</v>
      </c>
      <c r="P18" s="228" t="s">
        <v>175</v>
      </c>
      <c r="Q18" s="230">
        <v>2060000000</v>
      </c>
      <c r="R18" s="230">
        <v>0</v>
      </c>
      <c r="S18" s="230">
        <v>0</v>
      </c>
      <c r="T18" s="230">
        <v>2060000000</v>
      </c>
      <c r="U18" s="230">
        <v>0</v>
      </c>
      <c r="V18" s="230">
        <v>847658568.5</v>
      </c>
      <c r="W18" s="230">
        <v>1212341431.5</v>
      </c>
      <c r="X18" s="230">
        <v>764831743.5</v>
      </c>
      <c r="Y18" s="230">
        <v>722449067.5</v>
      </c>
      <c r="Z18" s="230">
        <v>722449067.5</v>
      </c>
      <c r="AA18" s="230">
        <v>722449067.5</v>
      </c>
    </row>
    <row r="19" spans="1:27" ht="22.5">
      <c r="A19" s="227" t="s">
        <v>32</v>
      </c>
      <c r="B19" s="228" t="s">
        <v>33</v>
      </c>
      <c r="C19" s="229" t="s">
        <v>176</v>
      </c>
      <c r="D19" s="227" t="s">
        <v>34</v>
      </c>
      <c r="E19" s="227" t="s">
        <v>151</v>
      </c>
      <c r="F19" s="227" t="s">
        <v>41</v>
      </c>
      <c r="G19" s="227" t="s">
        <v>145</v>
      </c>
      <c r="H19" s="227" t="s">
        <v>177</v>
      </c>
      <c r="I19" s="227"/>
      <c r="J19" s="227"/>
      <c r="K19" s="227"/>
      <c r="L19" s="227"/>
      <c r="M19" s="227" t="s">
        <v>35</v>
      </c>
      <c r="N19" s="227" t="s">
        <v>36</v>
      </c>
      <c r="O19" s="227" t="s">
        <v>37</v>
      </c>
      <c r="P19" s="228" t="s">
        <v>178</v>
      </c>
      <c r="Q19" s="230">
        <v>2060000000</v>
      </c>
      <c r="R19" s="230">
        <v>0</v>
      </c>
      <c r="S19" s="230">
        <v>0</v>
      </c>
      <c r="T19" s="230">
        <v>2060000000</v>
      </c>
      <c r="U19" s="230">
        <v>0</v>
      </c>
      <c r="V19" s="230">
        <v>1387214628</v>
      </c>
      <c r="W19" s="230">
        <v>672785372</v>
      </c>
      <c r="X19" s="230">
        <v>1328338822</v>
      </c>
      <c r="Y19" s="230">
        <v>1288156825</v>
      </c>
      <c r="Z19" s="230">
        <v>1283214763</v>
      </c>
      <c r="AA19" s="230">
        <v>1263483953</v>
      </c>
    </row>
    <row r="20" spans="1:27" ht="22.5">
      <c r="A20" s="227" t="s">
        <v>32</v>
      </c>
      <c r="B20" s="228" t="s">
        <v>33</v>
      </c>
      <c r="C20" s="229" t="s">
        <v>179</v>
      </c>
      <c r="D20" s="227" t="s">
        <v>34</v>
      </c>
      <c r="E20" s="227" t="s">
        <v>180</v>
      </c>
      <c r="F20" s="227" t="s">
        <v>145</v>
      </c>
      <c r="G20" s="227"/>
      <c r="H20" s="227"/>
      <c r="I20" s="227"/>
      <c r="J20" s="227"/>
      <c r="K20" s="227"/>
      <c r="L20" s="227"/>
      <c r="M20" s="227" t="s">
        <v>35</v>
      </c>
      <c r="N20" s="227" t="s">
        <v>36</v>
      </c>
      <c r="O20" s="227" t="s">
        <v>37</v>
      </c>
      <c r="P20" s="228" t="s">
        <v>181</v>
      </c>
      <c r="Q20" s="230">
        <v>51500000</v>
      </c>
      <c r="R20" s="230">
        <v>0</v>
      </c>
      <c r="S20" s="230">
        <v>0</v>
      </c>
      <c r="T20" s="230">
        <v>51500000</v>
      </c>
      <c r="U20" s="230">
        <v>0</v>
      </c>
      <c r="V20" s="230">
        <v>2342000</v>
      </c>
      <c r="W20" s="230">
        <v>49158000</v>
      </c>
      <c r="X20" s="230">
        <v>2319000</v>
      </c>
      <c r="Y20" s="230">
        <v>2319000</v>
      </c>
      <c r="Z20" s="230">
        <v>2319000</v>
      </c>
      <c r="AA20" s="230">
        <v>2319000</v>
      </c>
    </row>
    <row r="21" spans="1:27" ht="22.5">
      <c r="A21" s="227" t="s">
        <v>32</v>
      </c>
      <c r="B21" s="228" t="s">
        <v>33</v>
      </c>
      <c r="C21" s="229" t="s">
        <v>182</v>
      </c>
      <c r="D21" s="227" t="s">
        <v>34</v>
      </c>
      <c r="E21" s="227" t="s">
        <v>180</v>
      </c>
      <c r="F21" s="227" t="s">
        <v>154</v>
      </c>
      <c r="G21" s="227" t="s">
        <v>145</v>
      </c>
      <c r="H21" s="227"/>
      <c r="I21" s="227"/>
      <c r="J21" s="227"/>
      <c r="K21" s="227"/>
      <c r="L21" s="227"/>
      <c r="M21" s="227" t="s">
        <v>35</v>
      </c>
      <c r="N21" s="227" t="s">
        <v>36</v>
      </c>
      <c r="O21" s="227" t="s">
        <v>37</v>
      </c>
      <c r="P21" s="228" t="s">
        <v>183</v>
      </c>
      <c r="Q21" s="230">
        <v>236758000</v>
      </c>
      <c r="R21" s="230">
        <v>0</v>
      </c>
      <c r="S21" s="230">
        <v>0</v>
      </c>
      <c r="T21" s="230">
        <v>236758000</v>
      </c>
      <c r="U21" s="230">
        <v>0</v>
      </c>
      <c r="V21" s="230">
        <v>584855.38</v>
      </c>
      <c r="W21" s="230">
        <v>236173144.62</v>
      </c>
      <c r="X21" s="230">
        <v>584855.38</v>
      </c>
      <c r="Y21" s="230">
        <v>584855.38</v>
      </c>
      <c r="Z21" s="230">
        <v>584855.38</v>
      </c>
      <c r="AA21" s="230">
        <v>584855.38</v>
      </c>
    </row>
    <row r="22" spans="1:27" ht="56.25">
      <c r="A22" s="227" t="s">
        <v>32</v>
      </c>
      <c r="B22" s="228" t="s">
        <v>33</v>
      </c>
      <c r="C22" s="229" t="s">
        <v>140</v>
      </c>
      <c r="D22" s="227" t="s">
        <v>45</v>
      </c>
      <c r="E22" s="227" t="s">
        <v>46</v>
      </c>
      <c r="F22" s="227" t="s">
        <v>47</v>
      </c>
      <c r="G22" s="227" t="s">
        <v>40</v>
      </c>
      <c r="H22" s="227"/>
      <c r="I22" s="227"/>
      <c r="J22" s="227"/>
      <c r="K22" s="227"/>
      <c r="L22" s="227"/>
      <c r="M22" s="227" t="s">
        <v>35</v>
      </c>
      <c r="N22" s="227" t="s">
        <v>36</v>
      </c>
      <c r="O22" s="227" t="s">
        <v>37</v>
      </c>
      <c r="P22" s="228" t="s">
        <v>184</v>
      </c>
      <c r="Q22" s="230">
        <v>39427254112</v>
      </c>
      <c r="R22" s="230">
        <v>0</v>
      </c>
      <c r="S22" s="230">
        <v>0</v>
      </c>
      <c r="T22" s="230">
        <v>39427254112</v>
      </c>
      <c r="U22" s="230">
        <v>2424898603</v>
      </c>
      <c r="V22" s="230">
        <v>36977225033.800003</v>
      </c>
      <c r="W22" s="230">
        <v>25130475.199999999</v>
      </c>
      <c r="X22" s="230">
        <v>36439505111.800003</v>
      </c>
      <c r="Y22" s="230">
        <v>25412302340.91</v>
      </c>
      <c r="Z22" s="230">
        <v>25375197640.91</v>
      </c>
      <c r="AA22" s="230">
        <v>25375197640.91</v>
      </c>
    </row>
    <row r="23" spans="1:27" ht="45">
      <c r="A23" s="227" t="s">
        <v>32</v>
      </c>
      <c r="B23" s="228" t="s">
        <v>33</v>
      </c>
      <c r="C23" s="229" t="s">
        <v>185</v>
      </c>
      <c r="D23" s="227" t="s">
        <v>45</v>
      </c>
      <c r="E23" s="227" t="s">
        <v>46</v>
      </c>
      <c r="F23" s="227" t="s">
        <v>47</v>
      </c>
      <c r="G23" s="227" t="s">
        <v>41</v>
      </c>
      <c r="H23" s="227"/>
      <c r="I23" s="227"/>
      <c r="J23" s="227"/>
      <c r="K23" s="227"/>
      <c r="L23" s="227"/>
      <c r="M23" s="227" t="s">
        <v>35</v>
      </c>
      <c r="N23" s="227" t="s">
        <v>36</v>
      </c>
      <c r="O23" s="227" t="s">
        <v>37</v>
      </c>
      <c r="P23" s="228" t="s">
        <v>186</v>
      </c>
      <c r="Q23" s="230">
        <v>909785125</v>
      </c>
      <c r="R23" s="230">
        <v>0</v>
      </c>
      <c r="S23" s="230">
        <v>0</v>
      </c>
      <c r="T23" s="230">
        <v>909785125</v>
      </c>
      <c r="U23" s="230">
        <v>13233128</v>
      </c>
      <c r="V23" s="230">
        <v>896551997</v>
      </c>
      <c r="W23" s="230">
        <v>0</v>
      </c>
      <c r="X23" s="230">
        <v>865951395</v>
      </c>
      <c r="Y23" s="230">
        <v>714377466.82000005</v>
      </c>
      <c r="Z23" s="230">
        <v>714377466.82000005</v>
      </c>
      <c r="AA23" s="230">
        <v>714377466.82000005</v>
      </c>
    </row>
    <row r="24" spans="1:27" ht="56.25">
      <c r="A24" s="227" t="s">
        <v>32</v>
      </c>
      <c r="B24" s="228" t="s">
        <v>33</v>
      </c>
      <c r="C24" s="229" t="s">
        <v>187</v>
      </c>
      <c r="D24" s="227" t="s">
        <v>45</v>
      </c>
      <c r="E24" s="227" t="s">
        <v>46</v>
      </c>
      <c r="F24" s="227" t="s">
        <v>47</v>
      </c>
      <c r="G24" s="227" t="s">
        <v>188</v>
      </c>
      <c r="H24" s="227"/>
      <c r="I24" s="227"/>
      <c r="J24" s="227"/>
      <c r="K24" s="227"/>
      <c r="L24" s="227"/>
      <c r="M24" s="227" t="s">
        <v>35</v>
      </c>
      <c r="N24" s="227" t="s">
        <v>36</v>
      </c>
      <c r="O24" s="227" t="s">
        <v>37</v>
      </c>
      <c r="P24" s="228" t="s">
        <v>189</v>
      </c>
      <c r="Q24" s="230">
        <v>3601793401</v>
      </c>
      <c r="R24" s="230">
        <v>0</v>
      </c>
      <c r="S24" s="230">
        <v>0</v>
      </c>
      <c r="T24" s="230">
        <v>3601793401</v>
      </c>
      <c r="U24" s="230">
        <v>102369962</v>
      </c>
      <c r="V24" s="230">
        <v>3495285424</v>
      </c>
      <c r="W24" s="230">
        <v>4138015</v>
      </c>
      <c r="X24" s="230">
        <v>3247550082</v>
      </c>
      <c r="Y24" s="230">
        <v>2734700495</v>
      </c>
      <c r="Z24" s="230">
        <v>2734700495</v>
      </c>
      <c r="AA24" s="230">
        <v>2734700495</v>
      </c>
    </row>
    <row r="25" spans="1:27" ht="33.75">
      <c r="A25" s="227" t="s">
        <v>32</v>
      </c>
      <c r="B25" s="228" t="s">
        <v>33</v>
      </c>
      <c r="C25" s="229" t="s">
        <v>190</v>
      </c>
      <c r="D25" s="227" t="s">
        <v>45</v>
      </c>
      <c r="E25" s="227" t="s">
        <v>46</v>
      </c>
      <c r="F25" s="227" t="s">
        <v>47</v>
      </c>
      <c r="G25" s="227" t="s">
        <v>191</v>
      </c>
      <c r="H25" s="227"/>
      <c r="I25" s="227"/>
      <c r="J25" s="227"/>
      <c r="K25" s="227"/>
      <c r="L25" s="227"/>
      <c r="M25" s="227" t="s">
        <v>35</v>
      </c>
      <c r="N25" s="227" t="s">
        <v>36</v>
      </c>
      <c r="O25" s="227" t="s">
        <v>37</v>
      </c>
      <c r="P25" s="228" t="s">
        <v>192</v>
      </c>
      <c r="Q25" s="230">
        <v>2591894878</v>
      </c>
      <c r="R25" s="230">
        <v>0</v>
      </c>
      <c r="S25" s="230">
        <v>0</v>
      </c>
      <c r="T25" s="230">
        <v>2591894878</v>
      </c>
      <c r="U25" s="230">
        <v>46496954</v>
      </c>
      <c r="V25" s="230">
        <v>2541001192.1300001</v>
      </c>
      <c r="W25" s="230">
        <v>4396731.87</v>
      </c>
      <c r="X25" s="230">
        <v>2538615454.1300001</v>
      </c>
      <c r="Y25" s="230">
        <v>2094994317.6800001</v>
      </c>
      <c r="Z25" s="230">
        <v>2094994317.6800001</v>
      </c>
      <c r="AA25" s="230">
        <v>2094994317.6800001</v>
      </c>
    </row>
    <row r="26" spans="1:27" ht="56.25">
      <c r="A26" s="227" t="s">
        <v>32</v>
      </c>
      <c r="B26" s="228" t="s">
        <v>33</v>
      </c>
      <c r="C26" s="229" t="s">
        <v>193</v>
      </c>
      <c r="D26" s="227" t="s">
        <v>45</v>
      </c>
      <c r="E26" s="227" t="s">
        <v>46</v>
      </c>
      <c r="F26" s="227" t="s">
        <v>47</v>
      </c>
      <c r="G26" s="227" t="s">
        <v>194</v>
      </c>
      <c r="H26" s="227"/>
      <c r="I26" s="227"/>
      <c r="J26" s="227"/>
      <c r="K26" s="227"/>
      <c r="L26" s="227"/>
      <c r="M26" s="227" t="s">
        <v>35</v>
      </c>
      <c r="N26" s="227" t="s">
        <v>36</v>
      </c>
      <c r="O26" s="227" t="s">
        <v>37</v>
      </c>
      <c r="P26" s="228" t="s">
        <v>195</v>
      </c>
      <c r="Q26" s="230">
        <v>8032499000</v>
      </c>
      <c r="R26" s="230">
        <v>0</v>
      </c>
      <c r="S26" s="230">
        <v>0</v>
      </c>
      <c r="T26" s="230">
        <v>8032499000</v>
      </c>
      <c r="U26" s="230">
        <v>208538496</v>
      </c>
      <c r="V26" s="230">
        <v>7823960504</v>
      </c>
      <c r="W26" s="230">
        <v>0</v>
      </c>
      <c r="X26" s="230">
        <v>7775656509</v>
      </c>
      <c r="Y26" s="230">
        <v>6260136885.7700005</v>
      </c>
      <c r="Z26" s="230">
        <v>6260136885.7700005</v>
      </c>
      <c r="AA26" s="230">
        <v>6260136885.7700005</v>
      </c>
    </row>
    <row r="27" spans="1:27" ht="67.5">
      <c r="A27" s="227" t="s">
        <v>32</v>
      </c>
      <c r="B27" s="228" t="s">
        <v>33</v>
      </c>
      <c r="C27" s="229" t="s">
        <v>196</v>
      </c>
      <c r="D27" s="227" t="s">
        <v>45</v>
      </c>
      <c r="E27" s="227" t="s">
        <v>46</v>
      </c>
      <c r="F27" s="227" t="s">
        <v>47</v>
      </c>
      <c r="G27" s="227" t="s">
        <v>197</v>
      </c>
      <c r="H27" s="227"/>
      <c r="I27" s="227"/>
      <c r="J27" s="227"/>
      <c r="K27" s="227"/>
      <c r="L27" s="227"/>
      <c r="M27" s="227" t="s">
        <v>35</v>
      </c>
      <c r="N27" s="227" t="s">
        <v>36</v>
      </c>
      <c r="O27" s="227" t="s">
        <v>37</v>
      </c>
      <c r="P27" s="228" t="s">
        <v>198</v>
      </c>
      <c r="Q27" s="230">
        <v>8791562000</v>
      </c>
      <c r="R27" s="230">
        <v>0</v>
      </c>
      <c r="S27" s="230">
        <v>0</v>
      </c>
      <c r="T27" s="230">
        <v>8791562000</v>
      </c>
      <c r="U27" s="230">
        <v>903497937</v>
      </c>
      <c r="V27" s="230">
        <v>7875913563</v>
      </c>
      <c r="W27" s="230">
        <v>12150500</v>
      </c>
      <c r="X27" s="230">
        <v>7874196438</v>
      </c>
      <c r="Y27" s="230">
        <v>5662509768.7299995</v>
      </c>
      <c r="Z27" s="230">
        <v>5650009768.7299995</v>
      </c>
      <c r="AA27" s="230">
        <v>5650009768.7299995</v>
      </c>
    </row>
    <row r="28" spans="1:27" ht="56.25">
      <c r="A28" s="227" t="s">
        <v>32</v>
      </c>
      <c r="B28" s="228" t="s">
        <v>33</v>
      </c>
      <c r="C28" s="229" t="s">
        <v>199</v>
      </c>
      <c r="D28" s="227" t="s">
        <v>45</v>
      </c>
      <c r="E28" s="227" t="s">
        <v>46</v>
      </c>
      <c r="F28" s="227" t="s">
        <v>47</v>
      </c>
      <c r="G28" s="227" t="s">
        <v>200</v>
      </c>
      <c r="H28" s="227"/>
      <c r="I28" s="227"/>
      <c r="J28" s="227"/>
      <c r="K28" s="227"/>
      <c r="L28" s="227"/>
      <c r="M28" s="227" t="s">
        <v>35</v>
      </c>
      <c r="N28" s="227" t="s">
        <v>36</v>
      </c>
      <c r="O28" s="227" t="s">
        <v>37</v>
      </c>
      <c r="P28" s="228" t="s">
        <v>201</v>
      </c>
      <c r="Q28" s="230">
        <v>5305076993</v>
      </c>
      <c r="R28" s="230">
        <v>3800621579</v>
      </c>
      <c r="S28" s="230">
        <v>0</v>
      </c>
      <c r="T28" s="230">
        <v>9105698572</v>
      </c>
      <c r="U28" s="230">
        <v>594332657</v>
      </c>
      <c r="V28" s="230">
        <v>8183523057</v>
      </c>
      <c r="W28" s="230">
        <v>327842858</v>
      </c>
      <c r="X28" s="230">
        <v>8103815557</v>
      </c>
      <c r="Y28" s="230">
        <v>5317888604.3800001</v>
      </c>
      <c r="Z28" s="230">
        <v>5312795316.3800001</v>
      </c>
      <c r="AA28" s="230">
        <v>5312795316.3800001</v>
      </c>
    </row>
    <row r="29" spans="1:27" ht="112.5">
      <c r="A29" s="227" t="s">
        <v>32</v>
      </c>
      <c r="B29" s="228" t="s">
        <v>33</v>
      </c>
      <c r="C29" s="229" t="s">
        <v>202</v>
      </c>
      <c r="D29" s="227" t="s">
        <v>45</v>
      </c>
      <c r="E29" s="227" t="s">
        <v>46</v>
      </c>
      <c r="F29" s="227" t="s">
        <v>47</v>
      </c>
      <c r="G29" s="227" t="s">
        <v>203</v>
      </c>
      <c r="H29" s="227"/>
      <c r="I29" s="227"/>
      <c r="J29" s="227"/>
      <c r="K29" s="227"/>
      <c r="L29" s="227"/>
      <c r="M29" s="227" t="s">
        <v>49</v>
      </c>
      <c r="N29" s="227" t="s">
        <v>188</v>
      </c>
      <c r="O29" s="227" t="s">
        <v>37</v>
      </c>
      <c r="P29" s="228" t="s">
        <v>204</v>
      </c>
      <c r="Q29" s="230">
        <v>347886828</v>
      </c>
      <c r="R29" s="230">
        <v>0</v>
      </c>
      <c r="S29" s="230">
        <v>0</v>
      </c>
      <c r="T29" s="230">
        <v>347886828</v>
      </c>
      <c r="U29" s="230">
        <v>2652029</v>
      </c>
      <c r="V29" s="230">
        <v>345234799</v>
      </c>
      <c r="W29" s="230">
        <v>0</v>
      </c>
      <c r="X29" s="230">
        <v>342629975.92000002</v>
      </c>
      <c r="Y29" s="230">
        <v>294419655.36000001</v>
      </c>
      <c r="Z29" s="230">
        <v>293125743.36000001</v>
      </c>
      <c r="AA29" s="230">
        <v>293125743.36000001</v>
      </c>
    </row>
    <row r="30" spans="1:27" ht="112.5">
      <c r="A30" s="227" t="s">
        <v>32</v>
      </c>
      <c r="B30" s="228" t="s">
        <v>33</v>
      </c>
      <c r="C30" s="229" t="s">
        <v>202</v>
      </c>
      <c r="D30" s="227" t="s">
        <v>45</v>
      </c>
      <c r="E30" s="227" t="s">
        <v>46</v>
      </c>
      <c r="F30" s="227" t="s">
        <v>47</v>
      </c>
      <c r="G30" s="227" t="s">
        <v>203</v>
      </c>
      <c r="H30" s="227"/>
      <c r="I30" s="227"/>
      <c r="J30" s="227"/>
      <c r="K30" s="227"/>
      <c r="L30" s="227"/>
      <c r="M30" s="227" t="s">
        <v>35</v>
      </c>
      <c r="N30" s="227" t="s">
        <v>36</v>
      </c>
      <c r="O30" s="227" t="s">
        <v>37</v>
      </c>
      <c r="P30" s="228" t="s">
        <v>204</v>
      </c>
      <c r="Q30" s="230">
        <v>4421453037</v>
      </c>
      <c r="R30" s="230">
        <v>0</v>
      </c>
      <c r="S30" s="230">
        <v>0</v>
      </c>
      <c r="T30" s="230">
        <v>4421453037</v>
      </c>
      <c r="U30" s="230">
        <v>102000044</v>
      </c>
      <c r="V30" s="230">
        <v>4316560447</v>
      </c>
      <c r="W30" s="230">
        <v>2892546</v>
      </c>
      <c r="X30" s="230">
        <v>4310392137</v>
      </c>
      <c r="Y30" s="230">
        <v>3394686232.1999998</v>
      </c>
      <c r="Z30" s="230">
        <v>3393974798.1999998</v>
      </c>
      <c r="AA30" s="230">
        <v>3393974798.1999998</v>
      </c>
    </row>
    <row r="31" spans="1:27" ht="56.25">
      <c r="A31" s="227" t="s">
        <v>32</v>
      </c>
      <c r="B31" s="228" t="s">
        <v>33</v>
      </c>
      <c r="C31" s="229" t="s">
        <v>137</v>
      </c>
      <c r="D31" s="227" t="s">
        <v>45</v>
      </c>
      <c r="E31" s="227" t="s">
        <v>52</v>
      </c>
      <c r="F31" s="227" t="s">
        <v>47</v>
      </c>
      <c r="G31" s="227" t="s">
        <v>38</v>
      </c>
      <c r="H31" s="227"/>
      <c r="I31" s="227"/>
      <c r="J31" s="227"/>
      <c r="K31" s="227"/>
      <c r="L31" s="227"/>
      <c r="M31" s="227" t="s">
        <v>35</v>
      </c>
      <c r="N31" s="227" t="s">
        <v>36</v>
      </c>
      <c r="O31" s="227" t="s">
        <v>37</v>
      </c>
      <c r="P31" s="228" t="s">
        <v>138</v>
      </c>
      <c r="Q31" s="230">
        <v>319795653</v>
      </c>
      <c r="R31" s="230">
        <v>0</v>
      </c>
      <c r="S31" s="230">
        <v>319795653</v>
      </c>
      <c r="T31" s="230">
        <v>0</v>
      </c>
      <c r="U31" s="230">
        <v>0</v>
      </c>
      <c r="V31" s="230">
        <v>0</v>
      </c>
      <c r="W31" s="230">
        <v>0</v>
      </c>
      <c r="X31" s="230">
        <v>0</v>
      </c>
      <c r="Y31" s="230">
        <v>0</v>
      </c>
      <c r="Z31" s="230">
        <v>0</v>
      </c>
      <c r="AA31" s="230">
        <v>0</v>
      </c>
    </row>
    <row r="32" spans="1:27" ht="56.25">
      <c r="A32" s="227" t="s">
        <v>32</v>
      </c>
      <c r="B32" s="228" t="s">
        <v>33</v>
      </c>
      <c r="C32" s="229" t="s">
        <v>137</v>
      </c>
      <c r="D32" s="227" t="s">
        <v>45</v>
      </c>
      <c r="E32" s="227" t="s">
        <v>52</v>
      </c>
      <c r="F32" s="227" t="s">
        <v>47</v>
      </c>
      <c r="G32" s="227" t="s">
        <v>38</v>
      </c>
      <c r="H32" s="227"/>
      <c r="I32" s="227"/>
      <c r="J32" s="227"/>
      <c r="K32" s="227"/>
      <c r="L32" s="227"/>
      <c r="M32" s="227" t="s">
        <v>35</v>
      </c>
      <c r="N32" s="227" t="s">
        <v>48</v>
      </c>
      <c r="O32" s="227" t="s">
        <v>37</v>
      </c>
      <c r="P32" s="228" t="s">
        <v>138</v>
      </c>
      <c r="Q32" s="230">
        <v>29942724538</v>
      </c>
      <c r="R32" s="230">
        <v>0</v>
      </c>
      <c r="S32" s="230">
        <v>29942724538</v>
      </c>
      <c r="T32" s="230">
        <v>0</v>
      </c>
      <c r="U32" s="230">
        <v>0</v>
      </c>
      <c r="V32" s="230">
        <v>0</v>
      </c>
      <c r="W32" s="230">
        <v>0</v>
      </c>
      <c r="X32" s="230">
        <v>0</v>
      </c>
      <c r="Y32" s="230">
        <v>0</v>
      </c>
      <c r="Z32" s="230">
        <v>0</v>
      </c>
      <c r="AA32" s="230">
        <v>0</v>
      </c>
    </row>
    <row r="33" spans="1:27" ht="56.25">
      <c r="A33" s="227" t="s">
        <v>32</v>
      </c>
      <c r="B33" s="228" t="s">
        <v>33</v>
      </c>
      <c r="C33" s="229" t="s">
        <v>141</v>
      </c>
      <c r="D33" s="227" t="s">
        <v>45</v>
      </c>
      <c r="E33" s="227" t="s">
        <v>52</v>
      </c>
      <c r="F33" s="227" t="s">
        <v>47</v>
      </c>
      <c r="G33" s="227" t="s">
        <v>39</v>
      </c>
      <c r="H33" s="227"/>
      <c r="I33" s="227"/>
      <c r="J33" s="227"/>
      <c r="K33" s="227"/>
      <c r="L33" s="227"/>
      <c r="M33" s="227" t="s">
        <v>35</v>
      </c>
      <c r="N33" s="227" t="s">
        <v>36</v>
      </c>
      <c r="O33" s="227" t="s">
        <v>37</v>
      </c>
      <c r="P33" s="228" t="s">
        <v>205</v>
      </c>
      <c r="Q33" s="230">
        <v>4949859998</v>
      </c>
      <c r="R33" s="230">
        <v>0</v>
      </c>
      <c r="S33" s="230">
        <v>0</v>
      </c>
      <c r="T33" s="230">
        <v>4949859998</v>
      </c>
      <c r="U33" s="230">
        <v>165654289</v>
      </c>
      <c r="V33" s="230">
        <v>4783456709</v>
      </c>
      <c r="W33" s="230">
        <v>749000</v>
      </c>
      <c r="X33" s="230">
        <v>4780517770</v>
      </c>
      <c r="Y33" s="230">
        <v>3296616785.29</v>
      </c>
      <c r="Z33" s="230">
        <v>3296616785.29</v>
      </c>
      <c r="AA33" s="230">
        <v>3296616785.29</v>
      </c>
    </row>
    <row r="34" spans="1:27" ht="56.25">
      <c r="A34" s="227" t="s">
        <v>32</v>
      </c>
      <c r="B34" s="228" t="s">
        <v>33</v>
      </c>
      <c r="C34" s="229" t="s">
        <v>141</v>
      </c>
      <c r="D34" s="227" t="s">
        <v>45</v>
      </c>
      <c r="E34" s="227" t="s">
        <v>52</v>
      </c>
      <c r="F34" s="227" t="s">
        <v>47</v>
      </c>
      <c r="G34" s="227" t="s">
        <v>39</v>
      </c>
      <c r="H34" s="227"/>
      <c r="I34" s="227"/>
      <c r="J34" s="227"/>
      <c r="K34" s="227"/>
      <c r="L34" s="227"/>
      <c r="M34" s="227" t="s">
        <v>35</v>
      </c>
      <c r="N34" s="227" t="s">
        <v>48</v>
      </c>
      <c r="O34" s="227" t="s">
        <v>37</v>
      </c>
      <c r="P34" s="228" t="s">
        <v>205</v>
      </c>
      <c r="Q34" s="230">
        <v>23100846801</v>
      </c>
      <c r="R34" s="230">
        <v>0</v>
      </c>
      <c r="S34" s="230">
        <v>0</v>
      </c>
      <c r="T34" s="230">
        <v>23100846801</v>
      </c>
      <c r="U34" s="230">
        <v>963829402</v>
      </c>
      <c r="V34" s="230">
        <v>21913281937.080002</v>
      </c>
      <c r="W34" s="230">
        <v>223735461.91999999</v>
      </c>
      <c r="X34" s="230">
        <v>21738883347.080002</v>
      </c>
      <c r="Y34" s="230">
        <v>13029798688.709999</v>
      </c>
      <c r="Z34" s="230">
        <v>12884477320.709999</v>
      </c>
      <c r="AA34" s="230">
        <v>12884477320.709999</v>
      </c>
    </row>
    <row r="35" spans="1:27" ht="67.5">
      <c r="A35" s="227" t="s">
        <v>32</v>
      </c>
      <c r="B35" s="228" t="s">
        <v>33</v>
      </c>
      <c r="C35" s="229" t="s">
        <v>142</v>
      </c>
      <c r="D35" s="227" t="s">
        <v>45</v>
      </c>
      <c r="E35" s="227" t="s">
        <v>52</v>
      </c>
      <c r="F35" s="227" t="s">
        <v>47</v>
      </c>
      <c r="G35" s="227" t="s">
        <v>44</v>
      </c>
      <c r="H35" s="227"/>
      <c r="I35" s="227"/>
      <c r="J35" s="227"/>
      <c r="K35" s="227"/>
      <c r="L35" s="227"/>
      <c r="M35" s="227" t="s">
        <v>35</v>
      </c>
      <c r="N35" s="227" t="s">
        <v>36</v>
      </c>
      <c r="O35" s="227" t="s">
        <v>37</v>
      </c>
      <c r="P35" s="228" t="s">
        <v>206</v>
      </c>
      <c r="Q35" s="230">
        <v>25661863246</v>
      </c>
      <c r="R35" s="230">
        <v>0</v>
      </c>
      <c r="S35" s="230">
        <v>0</v>
      </c>
      <c r="T35" s="230">
        <v>25661863246</v>
      </c>
      <c r="U35" s="230">
        <v>607432366</v>
      </c>
      <c r="V35" s="230">
        <v>24469562983.310001</v>
      </c>
      <c r="W35" s="230">
        <v>584867896.69000006</v>
      </c>
      <c r="X35" s="230">
        <v>23216318606.150002</v>
      </c>
      <c r="Y35" s="230">
        <v>15968639626.27</v>
      </c>
      <c r="Z35" s="230">
        <v>15968639626.27</v>
      </c>
      <c r="AA35" s="230">
        <v>15968639626.27</v>
      </c>
    </row>
    <row r="36" spans="1:27" ht="56.25">
      <c r="A36" s="227" t="s">
        <v>32</v>
      </c>
      <c r="B36" s="228" t="s">
        <v>33</v>
      </c>
      <c r="C36" s="229" t="s">
        <v>207</v>
      </c>
      <c r="D36" s="227" t="s">
        <v>45</v>
      </c>
      <c r="E36" s="227" t="s">
        <v>52</v>
      </c>
      <c r="F36" s="227" t="s">
        <v>47</v>
      </c>
      <c r="G36" s="227" t="s">
        <v>50</v>
      </c>
      <c r="H36" s="227"/>
      <c r="I36" s="227"/>
      <c r="J36" s="227"/>
      <c r="K36" s="227"/>
      <c r="L36" s="227"/>
      <c r="M36" s="227" t="s">
        <v>35</v>
      </c>
      <c r="N36" s="227" t="s">
        <v>48</v>
      </c>
      <c r="O36" s="227" t="s">
        <v>37</v>
      </c>
      <c r="P36" s="228" t="s">
        <v>208</v>
      </c>
      <c r="Q36" s="230">
        <v>773529015</v>
      </c>
      <c r="R36" s="230">
        <v>0</v>
      </c>
      <c r="S36" s="230">
        <v>0</v>
      </c>
      <c r="T36" s="230">
        <v>773529015</v>
      </c>
      <c r="U36" s="230">
        <v>187465496</v>
      </c>
      <c r="V36" s="230">
        <v>586063519</v>
      </c>
      <c r="W36" s="230">
        <v>0</v>
      </c>
      <c r="X36" s="230">
        <v>586063519</v>
      </c>
      <c r="Y36" s="230">
        <v>320540608.85000002</v>
      </c>
      <c r="Z36" s="230">
        <v>320540608.85000002</v>
      </c>
      <c r="AA36" s="230">
        <v>320540608.85000002</v>
      </c>
    </row>
    <row r="37" spans="1:27" ht="56.25">
      <c r="A37" s="227" t="s">
        <v>32</v>
      </c>
      <c r="B37" s="228" t="s">
        <v>33</v>
      </c>
      <c r="C37" s="229" t="s">
        <v>209</v>
      </c>
      <c r="D37" s="227" t="s">
        <v>45</v>
      </c>
      <c r="E37" s="227" t="s">
        <v>52</v>
      </c>
      <c r="F37" s="227" t="s">
        <v>47</v>
      </c>
      <c r="G37" s="227" t="s">
        <v>51</v>
      </c>
      <c r="H37" s="227"/>
      <c r="I37" s="227"/>
      <c r="J37" s="227"/>
      <c r="K37" s="227"/>
      <c r="L37" s="227"/>
      <c r="M37" s="227" t="s">
        <v>35</v>
      </c>
      <c r="N37" s="227" t="s">
        <v>48</v>
      </c>
      <c r="O37" s="227" t="s">
        <v>37</v>
      </c>
      <c r="P37" s="228" t="s">
        <v>210</v>
      </c>
      <c r="Q37" s="230">
        <v>3358394125</v>
      </c>
      <c r="R37" s="230">
        <v>0</v>
      </c>
      <c r="S37" s="230">
        <v>0</v>
      </c>
      <c r="T37" s="230">
        <v>3358394125</v>
      </c>
      <c r="U37" s="230">
        <v>437897624</v>
      </c>
      <c r="V37" s="230">
        <v>2916417502</v>
      </c>
      <c r="W37" s="230">
        <v>4078999</v>
      </c>
      <c r="X37" s="230">
        <v>2896427533</v>
      </c>
      <c r="Y37" s="230">
        <v>2187972549</v>
      </c>
      <c r="Z37" s="230">
        <v>2187972549</v>
      </c>
      <c r="AA37" s="230">
        <v>2187972549</v>
      </c>
    </row>
    <row r="38" spans="1:27" ht="45">
      <c r="A38" s="227" t="s">
        <v>32</v>
      </c>
      <c r="B38" s="228" t="s">
        <v>33</v>
      </c>
      <c r="C38" s="229" t="s">
        <v>214</v>
      </c>
      <c r="D38" s="227" t="s">
        <v>45</v>
      </c>
      <c r="E38" s="227" t="s">
        <v>52</v>
      </c>
      <c r="F38" s="227" t="s">
        <v>47</v>
      </c>
      <c r="G38" s="227" t="s">
        <v>40</v>
      </c>
      <c r="H38" s="227" t="s">
        <v>1</v>
      </c>
      <c r="I38" s="227" t="s">
        <v>1</v>
      </c>
      <c r="J38" s="227" t="s">
        <v>1</v>
      </c>
      <c r="K38" s="227" t="s">
        <v>1</v>
      </c>
      <c r="L38" s="227" t="s">
        <v>1</v>
      </c>
      <c r="M38" s="227" t="s">
        <v>35</v>
      </c>
      <c r="N38" s="227" t="s">
        <v>36</v>
      </c>
      <c r="O38" s="227" t="s">
        <v>37</v>
      </c>
      <c r="P38" s="228" t="s">
        <v>215</v>
      </c>
      <c r="Q38" s="230">
        <v>0</v>
      </c>
      <c r="R38" s="230">
        <v>319795653</v>
      </c>
      <c r="S38" s="230">
        <v>0</v>
      </c>
      <c r="T38" s="230">
        <v>319795653</v>
      </c>
      <c r="U38" s="230">
        <v>319795653</v>
      </c>
      <c r="V38" s="230">
        <v>0</v>
      </c>
      <c r="W38" s="230">
        <v>0</v>
      </c>
      <c r="X38" s="230">
        <v>0</v>
      </c>
      <c r="Y38" s="230">
        <v>0</v>
      </c>
      <c r="Z38" s="230">
        <v>0</v>
      </c>
      <c r="AA38" s="230">
        <v>0</v>
      </c>
    </row>
    <row r="39" spans="1:27" ht="45">
      <c r="A39" s="227" t="s">
        <v>32</v>
      </c>
      <c r="B39" s="228" t="s">
        <v>33</v>
      </c>
      <c r="C39" s="229" t="s">
        <v>214</v>
      </c>
      <c r="D39" s="227" t="s">
        <v>45</v>
      </c>
      <c r="E39" s="227" t="s">
        <v>52</v>
      </c>
      <c r="F39" s="227" t="s">
        <v>47</v>
      </c>
      <c r="G39" s="227" t="s">
        <v>40</v>
      </c>
      <c r="H39" s="227" t="s">
        <v>1</v>
      </c>
      <c r="I39" s="227" t="s">
        <v>1</v>
      </c>
      <c r="J39" s="227" t="s">
        <v>1</v>
      </c>
      <c r="K39" s="227" t="s">
        <v>1</v>
      </c>
      <c r="L39" s="227" t="s">
        <v>1</v>
      </c>
      <c r="M39" s="227" t="s">
        <v>35</v>
      </c>
      <c r="N39" s="227" t="s">
        <v>48</v>
      </c>
      <c r="O39" s="227" t="s">
        <v>37</v>
      </c>
      <c r="P39" s="228" t="s">
        <v>215</v>
      </c>
      <c r="Q39" s="230">
        <v>0</v>
      </c>
      <c r="R39" s="230">
        <v>29942724538</v>
      </c>
      <c r="S39" s="230">
        <v>0</v>
      </c>
      <c r="T39" s="230">
        <v>29942724538</v>
      </c>
      <c r="U39" s="230">
        <v>29942724538</v>
      </c>
      <c r="V39" s="230">
        <v>0</v>
      </c>
      <c r="W39" s="230">
        <v>0</v>
      </c>
      <c r="X39" s="230">
        <v>0</v>
      </c>
      <c r="Y39" s="230">
        <v>0</v>
      </c>
      <c r="Z39" s="230">
        <v>0</v>
      </c>
      <c r="AA39" s="230">
        <v>0</v>
      </c>
    </row>
    <row r="40" spans="1:27">
      <c r="A40" s="227" t="s">
        <v>1</v>
      </c>
      <c r="B40" s="228" t="s">
        <v>1</v>
      </c>
      <c r="C40" s="229" t="s">
        <v>1</v>
      </c>
      <c r="D40" s="227" t="s">
        <v>1</v>
      </c>
      <c r="E40" s="227" t="s">
        <v>1</v>
      </c>
      <c r="F40" s="227" t="s">
        <v>1</v>
      </c>
      <c r="G40" s="227" t="s">
        <v>1</v>
      </c>
      <c r="H40" s="227" t="s">
        <v>1</v>
      </c>
      <c r="I40" s="227" t="s">
        <v>1</v>
      </c>
      <c r="J40" s="227" t="s">
        <v>1</v>
      </c>
      <c r="K40" s="227" t="s">
        <v>1</v>
      </c>
      <c r="L40" s="227" t="s">
        <v>1</v>
      </c>
      <c r="M40" s="227" t="s">
        <v>1</v>
      </c>
      <c r="N40" s="227" t="s">
        <v>1</v>
      </c>
      <c r="O40" s="227" t="s">
        <v>1</v>
      </c>
      <c r="P40" s="228" t="s">
        <v>1</v>
      </c>
      <c r="Q40" s="230">
        <v>240291898618</v>
      </c>
      <c r="R40" s="230">
        <v>43318525770</v>
      </c>
      <c r="S40" s="230">
        <v>39517904191</v>
      </c>
      <c r="T40" s="230">
        <v>244092520197</v>
      </c>
      <c r="U40" s="230">
        <v>38625766178</v>
      </c>
      <c r="V40" s="230">
        <v>201375249412</v>
      </c>
      <c r="W40" s="230">
        <v>4091504607</v>
      </c>
      <c r="X40" s="230">
        <v>187231231878.29999</v>
      </c>
      <c r="Y40" s="230">
        <v>145920252784.19</v>
      </c>
      <c r="Z40" s="230">
        <v>145708158170.19</v>
      </c>
      <c r="AA40" s="230">
        <v>145688427360.19</v>
      </c>
    </row>
    <row r="41" spans="1:27">
      <c r="A41" s="227" t="s">
        <v>1</v>
      </c>
      <c r="B41" s="231" t="s">
        <v>1</v>
      </c>
      <c r="C41" s="229" t="s">
        <v>1</v>
      </c>
      <c r="D41" s="227" t="s">
        <v>1</v>
      </c>
      <c r="E41" s="227" t="s">
        <v>1</v>
      </c>
      <c r="F41" s="227" t="s">
        <v>1</v>
      </c>
      <c r="G41" s="227" t="s">
        <v>1</v>
      </c>
      <c r="H41" s="227" t="s">
        <v>1</v>
      </c>
      <c r="I41" s="227" t="s">
        <v>1</v>
      </c>
      <c r="J41" s="227" t="s">
        <v>1</v>
      </c>
      <c r="K41" s="227" t="s">
        <v>1</v>
      </c>
      <c r="L41" s="227" t="s">
        <v>1</v>
      </c>
      <c r="M41" s="227" t="s">
        <v>1</v>
      </c>
      <c r="N41" s="227" t="s">
        <v>1</v>
      </c>
      <c r="O41" s="227" t="s">
        <v>1</v>
      </c>
      <c r="P41" s="228" t="s">
        <v>1</v>
      </c>
      <c r="Q41" s="232" t="s">
        <v>1</v>
      </c>
      <c r="R41" s="232" t="s">
        <v>1</v>
      </c>
      <c r="S41" s="232" t="s">
        <v>1</v>
      </c>
      <c r="T41" s="232" t="s">
        <v>1</v>
      </c>
      <c r="U41" s="232" t="s">
        <v>1</v>
      </c>
      <c r="V41" s="232" t="s">
        <v>1</v>
      </c>
      <c r="W41" s="232" t="s">
        <v>1</v>
      </c>
      <c r="X41" s="232" t="s">
        <v>1</v>
      </c>
      <c r="Y41" s="232" t="s">
        <v>1</v>
      </c>
      <c r="Z41" s="232" t="s">
        <v>1</v>
      </c>
      <c r="AA41" s="232" t="s">
        <v>1</v>
      </c>
    </row>
    <row r="42" spans="1:27" ht="33.950000000000003" customHeight="1"/>
  </sheetData>
  <pageMargins left="0.78740157480314998" right="0.78740157480314998" top="0.78740157480314998" bottom="0.78740157480314998" header="0.78740157480314998" footer="0.78740157480314998"/>
  <pageSetup paperSize="5" orientation="landscape"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4" tint="0.59999389629810485"/>
  </sheetPr>
  <dimension ref="A1:AA39"/>
  <sheetViews>
    <sheetView zoomScale="90" zoomScaleNormal="90" workbookViewId="0">
      <pane xSplit="1" ySplit="1" topLeftCell="H2" activePane="bottomRight" state="frozen"/>
      <selection pane="topRight" activeCell="B1" sqref="B1"/>
      <selection pane="bottomLeft" activeCell="A6" sqref="A6"/>
      <selection pane="bottomRight" activeCell="Q12" sqref="Q12"/>
    </sheetView>
  </sheetViews>
  <sheetFormatPr baseColWidth="10" defaultColWidth="11.42578125" defaultRowHeight="15"/>
  <cols>
    <col min="1" max="1" width="30" style="113" customWidth="1"/>
    <col min="2" max="2" width="8" style="114" customWidth="1"/>
    <col min="3" max="3" width="17.85546875" style="114" bestFit="1" customWidth="1"/>
    <col min="4" max="4" width="20" style="114" bestFit="1" customWidth="1"/>
    <col min="5" max="5" width="16" style="114" bestFit="1" customWidth="1"/>
    <col min="6" max="6" width="16" style="114" customWidth="1"/>
    <col min="7" max="8" width="16" style="114" bestFit="1" customWidth="1"/>
    <col min="9" max="15" width="17.140625" style="114" bestFit="1" customWidth="1"/>
    <col min="16" max="16" width="14.85546875" style="114" bestFit="1" customWidth="1"/>
    <col min="17" max="17" width="16" style="114" bestFit="1" customWidth="1"/>
    <col min="18" max="21" width="7.85546875" style="114" customWidth="1"/>
    <col min="22" max="22" width="12" style="114" customWidth="1"/>
    <col min="23" max="25" width="10.28515625" style="114" customWidth="1"/>
    <col min="26" max="16384" width="11.42578125" style="114"/>
  </cols>
  <sheetData>
    <row r="1" spans="1:26" ht="12" customHeight="1"/>
    <row r="2" spans="1:26" ht="18" customHeight="1">
      <c r="A2" s="147" t="s">
        <v>132</v>
      </c>
      <c r="B2" s="266" t="s">
        <v>65</v>
      </c>
      <c r="C2" s="267"/>
      <c r="D2" s="267"/>
      <c r="E2" s="267"/>
      <c r="F2" s="267"/>
      <c r="G2" s="267"/>
      <c r="H2" s="267"/>
      <c r="I2" s="267"/>
      <c r="J2" s="267"/>
      <c r="K2" s="267"/>
      <c r="L2" s="267"/>
      <c r="M2" s="268"/>
      <c r="N2" s="266" t="s">
        <v>130</v>
      </c>
      <c r="O2" s="267"/>
      <c r="P2" s="267"/>
      <c r="Q2" s="267"/>
      <c r="R2" s="267"/>
      <c r="S2" s="267"/>
      <c r="T2" s="267"/>
      <c r="U2" s="267"/>
      <c r="V2" s="267"/>
      <c r="W2" s="267"/>
      <c r="X2" s="267"/>
      <c r="Y2" s="268"/>
      <c r="Z2" s="116"/>
    </row>
    <row r="3" spans="1:26">
      <c r="A3" s="146"/>
      <c r="B3" s="269"/>
      <c r="C3" s="270"/>
      <c r="D3" s="270"/>
      <c r="E3" s="270"/>
      <c r="F3" s="270"/>
      <c r="G3" s="270"/>
      <c r="H3" s="270"/>
      <c r="I3" s="270"/>
      <c r="J3" s="270"/>
      <c r="K3" s="270"/>
      <c r="L3" s="270"/>
      <c r="M3" s="271"/>
      <c r="N3" s="269"/>
      <c r="O3" s="270"/>
      <c r="P3" s="270"/>
      <c r="Q3" s="270"/>
      <c r="R3" s="270"/>
      <c r="S3" s="270"/>
      <c r="T3" s="270"/>
      <c r="U3" s="270"/>
      <c r="V3" s="270"/>
      <c r="W3" s="270"/>
      <c r="X3" s="270"/>
      <c r="Y3" s="271"/>
      <c r="Z3" s="116"/>
    </row>
    <row r="4" spans="1:26">
      <c r="A4" s="145" t="s">
        <v>123</v>
      </c>
      <c r="B4" s="150" t="s">
        <v>112</v>
      </c>
      <c r="C4" s="115" t="s">
        <v>113</v>
      </c>
      <c r="D4" s="115" t="s">
        <v>5</v>
      </c>
      <c r="E4" s="115" t="s">
        <v>114</v>
      </c>
      <c r="F4" s="115" t="s">
        <v>115</v>
      </c>
      <c r="G4" s="115" t="s">
        <v>116</v>
      </c>
      <c r="H4" s="115" t="s">
        <v>117</v>
      </c>
      <c r="I4" s="115" t="s">
        <v>118</v>
      </c>
      <c r="J4" s="115" t="s">
        <v>119</v>
      </c>
      <c r="K4" s="115" t="s">
        <v>120</v>
      </c>
      <c r="L4" s="115" t="s">
        <v>121</v>
      </c>
      <c r="M4" s="151" t="s">
        <v>122</v>
      </c>
      <c r="N4" s="150" t="s">
        <v>112</v>
      </c>
      <c r="O4" s="115" t="s">
        <v>113</v>
      </c>
      <c r="P4" s="115" t="s">
        <v>5</v>
      </c>
      <c r="Q4" s="115" t="s">
        <v>114</v>
      </c>
      <c r="R4" s="115" t="s">
        <v>115</v>
      </c>
      <c r="S4" s="115" t="s">
        <v>116</v>
      </c>
      <c r="T4" s="115" t="s">
        <v>117</v>
      </c>
      <c r="U4" s="115" t="s">
        <v>118</v>
      </c>
      <c r="V4" s="115" t="s">
        <v>119</v>
      </c>
      <c r="W4" s="115" t="s">
        <v>120</v>
      </c>
      <c r="X4" s="115" t="s">
        <v>121</v>
      </c>
      <c r="Y4" s="151" t="s">
        <v>122</v>
      </c>
      <c r="Z4" s="116"/>
    </row>
    <row r="5" spans="1:26" s="119" customFormat="1">
      <c r="A5" s="148" t="s">
        <v>212</v>
      </c>
      <c r="B5" s="154"/>
      <c r="C5" s="117"/>
      <c r="D5" s="117"/>
      <c r="E5" s="117">
        <f>+'[3]METAS FUNCIONAMIENTO 201'!$F$5</f>
        <v>0.28839999999999999</v>
      </c>
      <c r="F5" s="117">
        <f>+'[3]METAS FUNCIONAMIENTO 201'!$G$5</f>
        <v>0.3589</v>
      </c>
      <c r="G5" s="117">
        <v>0.45600000000000002</v>
      </c>
      <c r="H5" s="117">
        <f>+'[3]METAS FUNCIONAMIENTO 201'!$I$5</f>
        <v>0.52549999999999997</v>
      </c>
      <c r="I5" s="117">
        <f>+'[3]METAS FUNCIONAMIENTO 201'!$J$5</f>
        <v>0.58609999999999995</v>
      </c>
      <c r="J5" s="118">
        <f>+'[3]METAS FUNCIONAMIENTO 201'!$K$5</f>
        <v>0.69286376460335053</v>
      </c>
      <c r="K5" s="118">
        <f>+'[3]METAS FUNCIONAMIENTO 201'!$L$5</f>
        <v>0.75305651245796446</v>
      </c>
      <c r="L5" s="118">
        <f>+'[3]METAS FUNCIONAMIENTO 201'!$M$5</f>
        <v>0.81465628777757348</v>
      </c>
      <c r="M5" s="155"/>
      <c r="N5" s="154"/>
      <c r="O5" s="117"/>
      <c r="P5" s="117"/>
      <c r="Q5" s="117">
        <f>+'[3]METAS FUNCIONAMIENTO 201'!$R$5</f>
        <v>0.25840000000000002</v>
      </c>
      <c r="R5" s="117">
        <f>+'[3]METAS FUNCIONAMIENTO 201'!$S$5</f>
        <v>0.34493965102444579</v>
      </c>
      <c r="S5" s="117">
        <v>0.43366466402318399</v>
      </c>
      <c r="T5" s="117">
        <f>+'[3]METAS FUNCIONAMIENTO 201'!$U$5</f>
        <v>0.50467480280387</v>
      </c>
      <c r="U5" s="117">
        <f>+'[3]METAS FUNCIONAMIENTO 201'!$V$5</f>
        <v>0.56792579338476379</v>
      </c>
      <c r="V5" s="118">
        <f>+'[3]METAS FUNCIONAMIENTO 201'!$W$5</f>
        <v>0.63973723142016892</v>
      </c>
      <c r="W5" s="118">
        <f>+'[3]METAS FUNCIONAMIENTO 201'!$X$5</f>
        <v>0.71038841187412627</v>
      </c>
      <c r="X5" s="118">
        <f>+'[3]METAS FUNCIONAMIENTO 201'!$Y$5</f>
        <v>0.78076673262284013</v>
      </c>
      <c r="Y5" s="155"/>
      <c r="Z5" s="162"/>
    </row>
    <row r="6" spans="1:26">
      <c r="A6" s="146"/>
      <c r="B6" s="152"/>
      <c r="M6" s="153"/>
      <c r="N6" s="152"/>
      <c r="Y6" s="153"/>
      <c r="Z6" s="116"/>
    </row>
    <row r="7" spans="1:26">
      <c r="A7" s="145" t="s">
        <v>124</v>
      </c>
      <c r="B7" s="150" t="s">
        <v>112</v>
      </c>
      <c r="C7" s="115" t="s">
        <v>113</v>
      </c>
      <c r="D7" s="115" t="s">
        <v>5</v>
      </c>
      <c r="E7" s="115" t="s">
        <v>114</v>
      </c>
      <c r="F7" s="115" t="s">
        <v>115</v>
      </c>
      <c r="G7" s="115" t="s">
        <v>116</v>
      </c>
      <c r="H7" s="115" t="s">
        <v>117</v>
      </c>
      <c r="I7" s="115" t="s">
        <v>118</v>
      </c>
      <c r="J7" s="115" t="s">
        <v>119</v>
      </c>
      <c r="K7" s="115" t="s">
        <v>120</v>
      </c>
      <c r="L7" s="115" t="s">
        <v>121</v>
      </c>
      <c r="M7" s="151" t="s">
        <v>122</v>
      </c>
      <c r="N7" s="150" t="s">
        <v>112</v>
      </c>
      <c r="O7" s="115" t="s">
        <v>113</v>
      </c>
      <c r="P7" s="115" t="s">
        <v>5</v>
      </c>
      <c r="Q7" s="115" t="s">
        <v>114</v>
      </c>
      <c r="R7" s="115" t="s">
        <v>115</v>
      </c>
      <c r="S7" s="115" t="s">
        <v>116</v>
      </c>
      <c r="T7" s="115" t="s">
        <v>117</v>
      </c>
      <c r="U7" s="115" t="s">
        <v>118</v>
      </c>
      <c r="V7" s="115" t="s">
        <v>119</v>
      </c>
      <c r="W7" s="115" t="s">
        <v>120</v>
      </c>
      <c r="X7" s="115" t="s">
        <v>121</v>
      </c>
      <c r="Y7" s="151" t="s">
        <v>122</v>
      </c>
      <c r="Z7" s="116"/>
    </row>
    <row r="8" spans="1:26" s="119" customFormat="1">
      <c r="A8" s="148" t="s">
        <v>212</v>
      </c>
      <c r="B8" s="156">
        <v>0.75359053564052891</v>
      </c>
      <c r="C8" s="120">
        <v>0.84109565184252322</v>
      </c>
      <c r="D8" s="120">
        <v>0.82129276953016528</v>
      </c>
      <c r="E8" s="120">
        <f>+[3]Compromisos!$M$21</f>
        <v>0.63372730781296971</v>
      </c>
      <c r="F8" s="120">
        <f>+[3]Compromisos!$P$21</f>
        <v>0.66907001079660144</v>
      </c>
      <c r="G8" s="120">
        <f>114288924473/165336840329</f>
        <v>0.69124899354299429</v>
      </c>
      <c r="H8" s="120">
        <f>+[3]Compromisos!$V$21</f>
        <v>0.93969291883672768</v>
      </c>
      <c r="I8" s="120">
        <f>+[3]Compromisos!$Y$21</f>
        <v>0.95241993049252571</v>
      </c>
      <c r="J8" s="120">
        <f>+[3]Compromisos!$AB$21</f>
        <v>0.95916382145948298</v>
      </c>
      <c r="K8" s="120">
        <f>+[3]Compromisos!$AE$21</f>
        <v>0.96852864040678455</v>
      </c>
      <c r="L8" s="120">
        <f>+[3]Compromisos!$AH$21</f>
        <v>0.97045118890455118</v>
      </c>
      <c r="M8" s="157"/>
      <c r="N8" s="163">
        <v>8.4799699902167375E-2</v>
      </c>
      <c r="O8" s="121">
        <v>0.16613928415876791</v>
      </c>
      <c r="P8" s="121">
        <v>0.35811983977971457</v>
      </c>
      <c r="Q8" s="121">
        <f>+[3]Obligaciones!$M$21</f>
        <v>0.13952399026494403</v>
      </c>
      <c r="R8" s="121">
        <f>+[3]Obligaciones!$P$21</f>
        <v>0.19506340237722664</v>
      </c>
      <c r="S8" s="121">
        <v>0.25679843265277902</v>
      </c>
      <c r="T8" s="121">
        <f>+[3]Obligaciones!$V$21</f>
        <v>0.32439312116948443</v>
      </c>
      <c r="U8" s="121">
        <f>+[3]Obligaciones!$Y$21</f>
        <v>0.39313816061597368</v>
      </c>
      <c r="V8" s="121">
        <f>+[3]Obligaciones!$AB$21</f>
        <v>0.45828676795742346</v>
      </c>
      <c r="W8" s="121">
        <f>+[3]Obligaciones!$AE$21</f>
        <v>0.53822208976998065</v>
      </c>
      <c r="X8" s="121">
        <f>+[3]Obligaciones!$AH$21</f>
        <v>0.61464045336649287</v>
      </c>
      <c r="Y8" s="157"/>
      <c r="Z8" s="162"/>
    </row>
    <row r="9" spans="1:26">
      <c r="A9" s="146"/>
      <c r="B9" s="152"/>
      <c r="M9" s="153"/>
      <c r="N9" s="152"/>
      <c r="Y9" s="153"/>
      <c r="Z9" s="116"/>
    </row>
    <row r="10" spans="1:26">
      <c r="A10" s="145" t="s">
        <v>60</v>
      </c>
      <c r="B10" s="150" t="s">
        <v>112</v>
      </c>
      <c r="C10" s="115" t="s">
        <v>113</v>
      </c>
      <c r="D10" s="115" t="s">
        <v>5</v>
      </c>
      <c r="E10" s="115"/>
      <c r="F10" s="115"/>
      <c r="G10" s="115"/>
      <c r="H10" s="115"/>
      <c r="I10" s="115"/>
      <c r="J10" s="115"/>
      <c r="K10" s="115"/>
      <c r="L10" s="115"/>
      <c r="M10" s="151"/>
      <c r="N10" s="150"/>
      <c r="O10" s="115"/>
      <c r="P10" s="115"/>
      <c r="Q10" s="115"/>
      <c r="R10" s="115"/>
      <c r="S10" s="115"/>
      <c r="T10" s="115"/>
      <c r="U10" s="115"/>
      <c r="V10" s="115"/>
      <c r="W10" s="115"/>
      <c r="X10" s="115"/>
      <c r="Y10" s="151"/>
      <c r="Z10" s="116"/>
    </row>
    <row r="11" spans="1:26" s="119" customFormat="1" ht="15.75" thickBot="1">
      <c r="A11" s="148" t="s">
        <v>212</v>
      </c>
      <c r="B11" s="158">
        <v>0.75359053564052891</v>
      </c>
      <c r="C11" s="159">
        <v>0.84109565184252322</v>
      </c>
      <c r="D11" s="160">
        <v>0.82129276953016528</v>
      </c>
      <c r="E11" s="160">
        <f>+METAS!G17/METAS!D17</f>
        <v>0.92018445664941928</v>
      </c>
      <c r="F11" s="160">
        <f>+METAS!G17/METAS!D17</f>
        <v>0.92018445664941928</v>
      </c>
      <c r="G11" s="160">
        <f>+METAS!G17/METAS!D17</f>
        <v>0.92018445664941928</v>
      </c>
      <c r="H11" s="160">
        <f>+METAS!G17/METAS!D17</f>
        <v>0.92018445664941928</v>
      </c>
      <c r="I11" s="160">
        <f>+METAS!G17/METAS!D17</f>
        <v>0.92018445664941928</v>
      </c>
      <c r="J11" s="160">
        <f>+METAS!G17/METAS!D17</f>
        <v>0.92018445664941928</v>
      </c>
      <c r="K11" s="160">
        <f>+METAS!G17/METAS!D17</f>
        <v>0.92018445664941928</v>
      </c>
      <c r="L11" s="160">
        <f>+METAS!G17/METAS!D17</f>
        <v>0.92018445664941928</v>
      </c>
      <c r="M11" s="161"/>
      <c r="N11" s="164">
        <v>8.4799699902167375E-2</v>
      </c>
      <c r="O11" s="160">
        <v>0.16613928415876791</v>
      </c>
      <c r="P11" s="160">
        <v>0.35811983977971457</v>
      </c>
      <c r="Q11" s="160">
        <f>+METAS!G28/METAS!D28</f>
        <v>0.66824057210923693</v>
      </c>
      <c r="R11" s="160">
        <f>+METAS!G28/METAS!D28</f>
        <v>0.66824057210923693</v>
      </c>
      <c r="S11" s="160">
        <f>+METAS!G28/METAS!D28</f>
        <v>0.66824057210923693</v>
      </c>
      <c r="T11" s="160">
        <f>+METAS!G28/METAS!D28</f>
        <v>0.66824057210923693</v>
      </c>
      <c r="U11" s="160">
        <f>+METAS!G28/METAS!D28</f>
        <v>0.66824057210923693</v>
      </c>
      <c r="V11" s="160">
        <f>+METAS!G28/METAS!D28</f>
        <v>0.66824057210923693</v>
      </c>
      <c r="W11" s="160">
        <f>+METAS!G28/METAS!D28</f>
        <v>0.66824057210923693</v>
      </c>
      <c r="X11" s="160">
        <f>+METAS!G28/METAS!D28</f>
        <v>0.66824057210923693</v>
      </c>
      <c r="Y11" s="161"/>
      <c r="Z11" s="162"/>
    </row>
    <row r="12" spans="1:26">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row>
    <row r="13" spans="1:26">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row>
    <row r="18" spans="1:27">
      <c r="A18" s="186"/>
      <c r="B18" s="186"/>
      <c r="C18" s="186"/>
      <c r="D18" s="187" t="s">
        <v>110</v>
      </c>
      <c r="E18" s="186"/>
      <c r="F18" s="186"/>
      <c r="G18" s="186"/>
      <c r="H18" s="186"/>
      <c r="I18" s="186"/>
      <c r="J18" s="186"/>
      <c r="K18" s="186"/>
      <c r="L18" s="186"/>
      <c r="M18" s="186"/>
      <c r="N18" s="186"/>
      <c r="O18" s="186"/>
      <c r="P18" s="187" t="s">
        <v>111</v>
      </c>
      <c r="Q18" s="186"/>
      <c r="R18" s="186"/>
      <c r="S18" s="186"/>
      <c r="T18" s="186"/>
      <c r="U18" s="186"/>
      <c r="V18" s="186"/>
      <c r="W18" s="186"/>
      <c r="X18" s="186"/>
      <c r="Y18" s="186"/>
      <c r="Z18" s="186"/>
      <c r="AA18" s="186"/>
    </row>
    <row r="19" spans="1:27">
      <c r="A19" s="186"/>
      <c r="B19" s="186"/>
      <c r="C19" s="188" t="s">
        <v>68</v>
      </c>
      <c r="D19" s="188" t="s">
        <v>112</v>
      </c>
      <c r="E19" s="188" t="s">
        <v>113</v>
      </c>
      <c r="F19" s="188" t="s">
        <v>5</v>
      </c>
      <c r="G19" s="188" t="s">
        <v>114</v>
      </c>
      <c r="H19" s="188" t="s">
        <v>115</v>
      </c>
      <c r="I19" s="188" t="s">
        <v>116</v>
      </c>
      <c r="J19" s="188" t="s">
        <v>117</v>
      </c>
      <c r="K19" s="188" t="s">
        <v>118</v>
      </c>
      <c r="L19" s="188" t="s">
        <v>119</v>
      </c>
      <c r="M19" s="188" t="s">
        <v>120</v>
      </c>
      <c r="N19" s="188" t="s">
        <v>121</v>
      </c>
      <c r="O19" s="188" t="s">
        <v>122</v>
      </c>
      <c r="P19" s="188" t="s">
        <v>112</v>
      </c>
      <c r="Q19" s="188" t="s">
        <v>113</v>
      </c>
      <c r="R19" s="188" t="s">
        <v>5</v>
      </c>
      <c r="S19" s="188" t="s">
        <v>114</v>
      </c>
      <c r="T19" s="188" t="s">
        <v>115</v>
      </c>
      <c r="U19" s="188" t="s">
        <v>116</v>
      </c>
      <c r="V19" s="188" t="s">
        <v>117</v>
      </c>
      <c r="W19" s="188" t="s">
        <v>118</v>
      </c>
      <c r="X19" s="188" t="s">
        <v>119</v>
      </c>
      <c r="Y19" s="188" t="s">
        <v>120</v>
      </c>
      <c r="Z19" s="188" t="s">
        <v>121</v>
      </c>
      <c r="AA19" s="188" t="s">
        <v>122</v>
      </c>
    </row>
    <row r="20" spans="1:27">
      <c r="A20" s="186"/>
      <c r="B20" s="186"/>
      <c r="C20" s="189" t="s">
        <v>123</v>
      </c>
      <c r="D20" s="190">
        <v>7.4490726855693482E-2</v>
      </c>
      <c r="E20" s="190">
        <v>0.2212821482804524</v>
      </c>
      <c r="F20" s="190">
        <v>0.2919211202428369</v>
      </c>
      <c r="G20" s="190">
        <v>0.35469715229454429</v>
      </c>
      <c r="H20" s="190">
        <v>0.41987592470380347</v>
      </c>
      <c r="I20" s="190">
        <v>0.51463604612050351</v>
      </c>
      <c r="J20" s="190">
        <v>0.57787686478453348</v>
      </c>
      <c r="K20" s="190">
        <v>0.63348336759798585</v>
      </c>
      <c r="L20" s="190">
        <v>0.70007901752356683</v>
      </c>
      <c r="M20" s="190">
        <v>0.76513205164749454</v>
      </c>
      <c r="N20" s="190">
        <v>0.83180869468246554</v>
      </c>
      <c r="O20" s="190">
        <v>0.99221436982694255</v>
      </c>
      <c r="P20" s="190">
        <v>3.6408750297486581E-2</v>
      </c>
      <c r="Q20" s="190">
        <v>9.7251781303303364E-2</v>
      </c>
      <c r="R20" s="190">
        <v>0.16765430192136793</v>
      </c>
      <c r="S20" s="190">
        <v>0.23537853838490821</v>
      </c>
      <c r="T20" s="190">
        <v>0.30500299717225071</v>
      </c>
      <c r="U20" s="190">
        <v>0.41510311735407557</v>
      </c>
      <c r="V20" s="190">
        <v>0.4924284194335522</v>
      </c>
      <c r="W20" s="190">
        <v>0.56105745587854794</v>
      </c>
      <c r="X20" s="190">
        <v>0.63253385899947279</v>
      </c>
      <c r="Y20" s="190">
        <v>0.71204690627426281</v>
      </c>
      <c r="Z20" s="190">
        <v>0.79019387217157988</v>
      </c>
      <c r="AA20" s="190">
        <v>0.98350570024181638</v>
      </c>
    </row>
    <row r="21" spans="1:27">
      <c r="A21" s="186"/>
      <c r="B21" s="186"/>
      <c r="C21" s="189" t="s">
        <v>124</v>
      </c>
      <c r="D21" s="190">
        <v>0.45449611751461988</v>
      </c>
      <c r="E21" s="190">
        <v>0.54320900518585979</v>
      </c>
      <c r="F21" s="190">
        <v>0.54919608445349311</v>
      </c>
      <c r="G21" s="190">
        <v>0.57761182312903625</v>
      </c>
      <c r="H21" s="190">
        <v>0.58760525400870267</v>
      </c>
      <c r="I21" s="190">
        <v>0.65020476593316978</v>
      </c>
      <c r="J21" s="190">
        <v>0.74366475113410146</v>
      </c>
      <c r="K21" s="190">
        <v>0.77336431341459599</v>
      </c>
      <c r="L21" s="190">
        <v>0.80193236993384698</v>
      </c>
      <c r="M21" s="190">
        <v>0.83946634611411541</v>
      </c>
      <c r="N21" s="190">
        <v>0.86328218332382056</v>
      </c>
      <c r="O21" s="190">
        <v>0.97769591954989321</v>
      </c>
      <c r="P21" s="190">
        <v>2.4346780116959064E-3</v>
      </c>
      <c r="Q21" s="190">
        <v>3.7141740104873297E-2</v>
      </c>
      <c r="R21" s="190">
        <v>8.4500000000000006E-2</v>
      </c>
      <c r="S21" s="190">
        <v>0.15387846160383831</v>
      </c>
      <c r="T21" s="190">
        <v>0.22166424771449036</v>
      </c>
      <c r="U21" s="190">
        <v>0.27512684140231114</v>
      </c>
      <c r="V21" s="190">
        <v>0.36553773152620389</v>
      </c>
      <c r="W21" s="190">
        <v>0.42626116886411219</v>
      </c>
      <c r="X21" s="190">
        <v>0.49802236038543785</v>
      </c>
      <c r="Y21" s="190">
        <v>0.57354553955025411</v>
      </c>
      <c r="Z21" s="190">
        <v>0.64361296164892168</v>
      </c>
      <c r="AA21" s="190">
        <v>0.95609050099628656</v>
      </c>
    </row>
    <row r="22" spans="1:27">
      <c r="A22" s="191"/>
      <c r="B22" s="191"/>
      <c r="C22" s="192" t="s">
        <v>60</v>
      </c>
      <c r="D22" s="193">
        <v>0.30305395303368321</v>
      </c>
      <c r="E22" s="193">
        <v>0.41491266725822712</v>
      </c>
      <c r="F22" s="193">
        <v>0.44666522987993817</v>
      </c>
      <c r="G22" s="193">
        <v>0.4887744511454607</v>
      </c>
      <c r="H22" s="193">
        <v>0.52076069521751256</v>
      </c>
      <c r="I22" s="193">
        <v>0.59617705772424268</v>
      </c>
      <c r="J22" s="193">
        <v>0.67759390853378387</v>
      </c>
      <c r="K22" s="193">
        <v>0.71761806948006801</v>
      </c>
      <c r="L22" s="193">
        <v>0.76134112431518397</v>
      </c>
      <c r="M22" s="193">
        <v>0.80984217044211193</v>
      </c>
      <c r="N22" s="193">
        <v>0.85073916851198306</v>
      </c>
      <c r="O22" s="193">
        <v>0.98348190466724306</v>
      </c>
      <c r="P22" s="193">
        <v>1.5974241317022627E-2</v>
      </c>
      <c r="Q22" s="193">
        <v>6.1097175922095945E-2</v>
      </c>
      <c r="R22" s="193">
        <v>0.11763918112329141</v>
      </c>
      <c r="S22" s="193">
        <v>0.18635839040612681</v>
      </c>
      <c r="T22" s="193">
        <v>0.25487693604276118</v>
      </c>
      <c r="U22" s="193">
        <v>0.33091107690844013</v>
      </c>
      <c r="V22" s="193">
        <v>0.41610701528252747</v>
      </c>
      <c r="W22" s="193">
        <v>0.47998104224291427</v>
      </c>
      <c r="X22" s="193">
        <v>0.55162873808013657</v>
      </c>
      <c r="Y22" s="193">
        <v>0.62874198485299437</v>
      </c>
      <c r="Z22" s="193">
        <v>0.70202931811861746</v>
      </c>
      <c r="AA22" s="193">
        <v>0.96701618051420069</v>
      </c>
    </row>
    <row r="23" spans="1:27">
      <c r="A23" s="186"/>
      <c r="B23" s="186"/>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row>
    <row r="24" spans="1:27">
      <c r="A24" s="186"/>
      <c r="B24" s="186"/>
      <c r="C24" s="186"/>
      <c r="D24" s="187" t="s">
        <v>110</v>
      </c>
      <c r="E24" s="186"/>
      <c r="F24" s="186"/>
      <c r="G24" s="186"/>
      <c r="H24" s="186"/>
      <c r="I24" s="186"/>
      <c r="J24" s="186"/>
      <c r="K24" s="186"/>
      <c r="L24" s="186"/>
      <c r="M24" s="186"/>
      <c r="N24" s="186"/>
      <c r="O24" s="186"/>
      <c r="P24" s="187" t="s">
        <v>111</v>
      </c>
      <c r="Q24" s="186"/>
      <c r="R24" s="186"/>
      <c r="S24" s="186"/>
      <c r="T24" s="186"/>
      <c r="U24" s="186"/>
      <c r="V24" s="186"/>
      <c r="W24" s="186"/>
      <c r="X24" s="186"/>
      <c r="Y24" s="186"/>
      <c r="Z24" s="186"/>
      <c r="AA24" s="186"/>
    </row>
    <row r="25" spans="1:27">
      <c r="A25" s="186"/>
      <c r="B25" s="186"/>
      <c r="C25" s="188" t="s">
        <v>68</v>
      </c>
      <c r="D25" s="188" t="s">
        <v>112</v>
      </c>
      <c r="E25" s="188" t="s">
        <v>113</v>
      </c>
      <c r="F25" s="188" t="s">
        <v>5</v>
      </c>
      <c r="G25" s="188" t="s">
        <v>114</v>
      </c>
      <c r="H25" s="188" t="s">
        <v>115</v>
      </c>
      <c r="I25" s="188" t="s">
        <v>116</v>
      </c>
      <c r="J25" s="188" t="s">
        <v>117</v>
      </c>
      <c r="K25" s="188" t="s">
        <v>118</v>
      </c>
      <c r="L25" s="188" t="s">
        <v>119</v>
      </c>
      <c r="M25" s="188" t="s">
        <v>120</v>
      </c>
      <c r="N25" s="188" t="s">
        <v>121</v>
      </c>
      <c r="O25" s="188" t="s">
        <v>122</v>
      </c>
      <c r="P25" s="188" t="s">
        <v>112</v>
      </c>
      <c r="Q25" s="188" t="s">
        <v>113</v>
      </c>
      <c r="R25" s="188" t="s">
        <v>5</v>
      </c>
      <c r="S25" s="188" t="s">
        <v>114</v>
      </c>
      <c r="T25" s="188" t="s">
        <v>115</v>
      </c>
      <c r="U25" s="188" t="s">
        <v>116</v>
      </c>
      <c r="V25" s="188" t="s">
        <v>117</v>
      </c>
      <c r="W25" s="188" t="s">
        <v>118</v>
      </c>
      <c r="X25" s="188" t="s">
        <v>119</v>
      </c>
      <c r="Y25" s="188" t="s">
        <v>120</v>
      </c>
      <c r="Z25" s="188" t="s">
        <v>121</v>
      </c>
      <c r="AA25" s="188" t="s">
        <v>122</v>
      </c>
    </row>
    <row r="26" spans="1:27">
      <c r="A26" s="194">
        <v>75459500000</v>
      </c>
      <c r="B26" s="186"/>
      <c r="C26" s="189" t="s">
        <v>123</v>
      </c>
      <c r="D26" s="195">
        <v>5621033003.1672001</v>
      </c>
      <c r="E26" s="195">
        <v>16697840268.168798</v>
      </c>
      <c r="F26" s="195">
        <v>22028221772.964352</v>
      </c>
      <c r="G26" s="195">
        <v>26765269763.570164</v>
      </c>
      <c r="H26" s="195">
        <v>31683627340.186657</v>
      </c>
      <c r="I26" s="195">
        <v>38834178722.230133</v>
      </c>
      <c r="J26" s="195">
        <v>43606299278.208504</v>
      </c>
      <c r="K26" s="195">
        <v>47802338177.260216</v>
      </c>
      <c r="L26" s="195">
        <v>52827612622.819588</v>
      </c>
      <c r="M26" s="195">
        <v>57736482051.294113</v>
      </c>
      <c r="N26" s="195">
        <v>62767868196.39151</v>
      </c>
      <c r="O26" s="195">
        <v>74872000239.956177</v>
      </c>
      <c r="P26" s="195">
        <v>2747386093.0731888</v>
      </c>
      <c r="Q26" s="195">
        <v>7338570791.2566204</v>
      </c>
      <c r="R26" s="195">
        <v>12651109795.835463</v>
      </c>
      <c r="S26" s="195">
        <v>17761546817.255981</v>
      </c>
      <c r="T26" s="195">
        <v>23015373665.119453</v>
      </c>
      <c r="U26" s="195">
        <v>31323473683.979866</v>
      </c>
      <c r="V26" s="195">
        <v>37158402316.246132</v>
      </c>
      <c r="W26" s="195">
        <v>42337115091.867287</v>
      </c>
      <c r="X26" s="195">
        <v>47730688733.170715</v>
      </c>
      <c r="Y26" s="195">
        <v>53730703524.002731</v>
      </c>
      <c r="Z26" s="195">
        <v>59627634497.131332</v>
      </c>
      <c r="AA26" s="195">
        <v>74214848387.397339</v>
      </c>
    </row>
    <row r="27" spans="1:27">
      <c r="A27" s="194">
        <v>113886821579</v>
      </c>
      <c r="B27" s="186"/>
      <c r="C27" s="189" t="s">
        <v>124</v>
      </c>
      <c r="D27" s="195">
        <v>51761118243.735703</v>
      </c>
      <c r="E27" s="195">
        <v>61864347053.708099</v>
      </c>
      <c r="F27" s="195">
        <v>62546196482.040382</v>
      </c>
      <c r="G27" s="195">
        <v>65782374642.617455</v>
      </c>
      <c r="H27" s="195">
        <v>66920494722.172096</v>
      </c>
      <c r="I27" s="195">
        <v>74049754167.646362</v>
      </c>
      <c r="J27" s="195">
        <v>84693614827.000854</v>
      </c>
      <c r="K27" s="195">
        <v>88076003577.413925</v>
      </c>
      <c r="L27" s="195">
        <v>91329528733.080658</v>
      </c>
      <c r="M27" s="195">
        <v>95604153981.473328</v>
      </c>
      <c r="N27" s="195">
        <v>98316463984.529526</v>
      </c>
      <c r="O27" s="195">
        <v>111346680748.29503</v>
      </c>
      <c r="P27" s="195">
        <v>277277740.32032615</v>
      </c>
      <c r="Q27" s="195">
        <v>4229954728.457294</v>
      </c>
      <c r="R27" s="195">
        <v>9623436423.4255009</v>
      </c>
      <c r="S27" s="195">
        <v>17524728901.527336</v>
      </c>
      <c r="T27" s="195">
        <v>25244636629.903423</v>
      </c>
      <c r="U27" s="195">
        <v>31333321498.378838</v>
      </c>
      <c r="V27" s="195">
        <v>41629930410.717186</v>
      </c>
      <c r="W27" s="195">
        <v>48545529684.483139</v>
      </c>
      <c r="X27" s="195">
        <v>56718183699.568794</v>
      </c>
      <c r="Y27" s="195">
        <v>65319278530.191078</v>
      </c>
      <c r="Z27" s="195">
        <v>73299034529.242508</v>
      </c>
      <c r="AA27" s="195">
        <v>108886108300.34081</v>
      </c>
    </row>
    <row r="28" spans="1:27">
      <c r="A28" s="196">
        <v>189346321579</v>
      </c>
      <c r="B28" s="191"/>
      <c r="C28" s="192" t="s">
        <v>60</v>
      </c>
      <c r="D28" s="197">
        <v>57382151246.902939</v>
      </c>
      <c r="E28" s="197">
        <v>78562187321.876892</v>
      </c>
      <c r="F28" s="197">
        <v>84574418255.00473</v>
      </c>
      <c r="G28" s="197">
        <v>92547644406.187622</v>
      </c>
      <c r="H28" s="197">
        <v>98604122062.358749</v>
      </c>
      <c r="I28" s="197">
        <v>112883932889.8765</v>
      </c>
      <c r="J28" s="197">
        <v>128299914105.20935</v>
      </c>
      <c r="K28" s="197">
        <v>135878341754.67413</v>
      </c>
      <c r="L28" s="197">
        <v>144157141355.90024</v>
      </c>
      <c r="M28" s="197">
        <v>153340636032.76746</v>
      </c>
      <c r="N28" s="197">
        <v>161084332180.92102</v>
      </c>
      <c r="O28" s="197">
        <v>186218680988.25122</v>
      </c>
      <c r="P28" s="197">
        <v>3024663833.3935151</v>
      </c>
      <c r="Q28" s="197">
        <v>11568525519.713915</v>
      </c>
      <c r="R28" s="197">
        <v>22274546219.260963</v>
      </c>
      <c r="S28" s="197">
        <v>35286275718.783318</v>
      </c>
      <c r="T28" s="197">
        <v>48260010295.022873</v>
      </c>
      <c r="U28" s="197">
        <v>62656795182.358704</v>
      </c>
      <c r="V28" s="197">
        <v>78788332726.963318</v>
      </c>
      <c r="W28" s="197">
        <v>90882644776.350433</v>
      </c>
      <c r="X28" s="197">
        <v>104448872432.7395</v>
      </c>
      <c r="Y28" s="197">
        <v>119049982054.19382</v>
      </c>
      <c r="Z28" s="197">
        <v>132926669026.37384</v>
      </c>
      <c r="AA28" s="197">
        <v>183100956687.73816</v>
      </c>
    </row>
    <row r="29" spans="1:27">
      <c r="A29" s="186"/>
      <c r="B29" s="186"/>
      <c r="C29" s="186"/>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6"/>
    </row>
    <row r="30" spans="1:27">
      <c r="A30" s="186"/>
      <c r="B30" s="186"/>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row>
    <row r="31" spans="1:27">
      <c r="A31" s="186"/>
      <c r="B31" s="186"/>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row>
    <row r="32" spans="1:27">
      <c r="A32" s="186"/>
      <c r="B32" s="186"/>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row>
    <row r="33" spans="1:27">
      <c r="A33" s="186"/>
      <c r="B33" s="186"/>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row>
    <row r="34" spans="1:27">
      <c r="A34" s="186"/>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row>
    <row r="35" spans="1:27">
      <c r="A35" s="186"/>
      <c r="B35" s="186"/>
      <c r="C35" s="189" t="s">
        <v>133</v>
      </c>
      <c r="D35" s="194">
        <v>75459500000</v>
      </c>
      <c r="E35" s="186"/>
      <c r="F35" s="186"/>
      <c r="G35" s="186"/>
      <c r="H35" s="186"/>
      <c r="I35" s="186"/>
      <c r="J35" s="186"/>
      <c r="K35" s="186"/>
      <c r="L35" s="186"/>
      <c r="M35" s="186"/>
      <c r="N35" s="186"/>
      <c r="O35" s="186"/>
      <c r="P35" s="186"/>
      <c r="Q35" s="186"/>
      <c r="R35" s="186"/>
      <c r="S35" s="186"/>
      <c r="T35" s="186"/>
      <c r="U35" s="186"/>
      <c r="V35" s="186"/>
      <c r="W35" s="186"/>
      <c r="X35" s="186"/>
      <c r="Y35" s="186"/>
      <c r="Z35" s="186"/>
      <c r="AA35" s="186"/>
    </row>
    <row r="36" spans="1:27">
      <c r="A36" s="186"/>
      <c r="B36" s="186"/>
      <c r="C36" s="189" t="s">
        <v>134</v>
      </c>
      <c r="D36" s="194">
        <v>110086200000</v>
      </c>
      <c r="E36" s="186"/>
      <c r="F36" s="186"/>
      <c r="G36" s="186"/>
      <c r="H36" s="186"/>
      <c r="I36" s="186"/>
      <c r="J36" s="186"/>
      <c r="K36" s="186"/>
      <c r="L36" s="186"/>
      <c r="M36" s="186"/>
      <c r="N36" s="186"/>
      <c r="O36" s="186"/>
      <c r="P36" s="186"/>
      <c r="Q36" s="186"/>
      <c r="R36" s="186"/>
      <c r="S36" s="186"/>
      <c r="T36" s="186"/>
      <c r="U36" s="186"/>
      <c r="V36" s="186"/>
      <c r="W36" s="186"/>
      <c r="X36" s="186"/>
      <c r="Y36" s="186"/>
      <c r="Z36" s="186"/>
      <c r="AA36" s="186"/>
    </row>
    <row r="37" spans="1:27">
      <c r="A37" s="186"/>
      <c r="B37" s="186"/>
      <c r="C37" s="198" t="s">
        <v>135</v>
      </c>
      <c r="D37" s="199">
        <v>185545700000</v>
      </c>
      <c r="E37" s="186"/>
      <c r="F37" s="186"/>
      <c r="G37" s="186"/>
      <c r="H37" s="186"/>
      <c r="I37" s="186"/>
      <c r="J37" s="186"/>
      <c r="K37" s="186"/>
      <c r="L37" s="186"/>
      <c r="M37" s="186"/>
      <c r="N37" s="186"/>
      <c r="O37" s="186"/>
      <c r="P37" s="186"/>
      <c r="Q37" s="186"/>
      <c r="R37" s="186"/>
      <c r="S37" s="186"/>
      <c r="T37" s="186"/>
      <c r="U37" s="186"/>
      <c r="V37" s="186"/>
      <c r="W37" s="186"/>
      <c r="X37" s="186"/>
      <c r="Y37" s="186"/>
      <c r="Z37" s="186"/>
      <c r="AA37" s="186"/>
    </row>
    <row r="38" spans="1:27">
      <c r="A38" s="186"/>
      <c r="B38" s="186"/>
      <c r="C38" s="189" t="s">
        <v>136</v>
      </c>
      <c r="D38" s="194">
        <v>3800621579</v>
      </c>
      <c r="E38" s="186"/>
      <c r="F38" s="186"/>
      <c r="G38" s="186"/>
      <c r="H38" s="186"/>
      <c r="I38" s="186"/>
      <c r="J38" s="186"/>
      <c r="K38" s="186"/>
      <c r="L38" s="186"/>
      <c r="M38" s="186"/>
      <c r="N38" s="186"/>
      <c r="O38" s="186"/>
      <c r="P38" s="186"/>
      <c r="Q38" s="186"/>
      <c r="R38" s="186"/>
      <c r="S38" s="186"/>
      <c r="T38" s="186"/>
      <c r="U38" s="186"/>
      <c r="V38" s="186"/>
      <c r="W38" s="186"/>
      <c r="X38" s="186"/>
      <c r="Y38" s="186"/>
      <c r="Z38" s="186"/>
      <c r="AA38" s="186"/>
    </row>
    <row r="39" spans="1:27">
      <c r="A39" s="186"/>
      <c r="B39" s="186"/>
      <c r="C39" s="198" t="s">
        <v>60</v>
      </c>
      <c r="D39" s="199">
        <v>189346321579</v>
      </c>
      <c r="E39" s="186"/>
      <c r="F39" s="186"/>
      <c r="G39" s="186"/>
      <c r="H39" s="186"/>
      <c r="I39" s="186"/>
      <c r="J39" s="186"/>
      <c r="K39" s="186"/>
      <c r="L39" s="186"/>
      <c r="M39" s="186"/>
      <c r="N39" s="186"/>
      <c r="O39" s="186"/>
      <c r="P39" s="186"/>
      <c r="Q39" s="186"/>
      <c r="R39" s="186"/>
      <c r="S39" s="186"/>
      <c r="T39" s="186"/>
      <c r="U39" s="186"/>
      <c r="V39" s="186"/>
      <c r="W39" s="186"/>
      <c r="X39" s="186"/>
      <c r="Y39" s="186"/>
      <c r="Z39" s="186"/>
      <c r="AA39" s="186"/>
    </row>
  </sheetData>
  <mergeCells count="2">
    <mergeCell ref="B2:M3"/>
    <mergeCell ref="N2:Y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EJECUCIÓN WEB</vt:lpstr>
      <vt:lpstr>METAS</vt:lpstr>
      <vt:lpstr>EJECUCIÓN</vt:lpstr>
      <vt:lpstr>TD-EPA RECURSO</vt:lpstr>
      <vt:lpstr>TD-EPA</vt:lpstr>
      <vt:lpstr>EPA - SIIF</vt:lpstr>
      <vt:lpstr>METAS EJEC. SIC - MINCIT</vt:lpstr>
      <vt:lpstr>METAS!Área_de_impresión</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Augusto Montaño Patarroyo</dc:creator>
  <cp:lastModifiedBy>Maria Alejandra Rodriguez Briceño</cp:lastModifiedBy>
  <cp:lastPrinted>2019-12-02T14:51:19Z</cp:lastPrinted>
  <dcterms:created xsi:type="dcterms:W3CDTF">2017-03-02T18:31:21Z</dcterms:created>
  <dcterms:modified xsi:type="dcterms:W3CDTF">2019-12-09T20:54:33Z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