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rodriguezb\Desktop\2020\Financiera\Ejecución presupuestal\"/>
    </mc:Choice>
  </mc:AlternateContent>
  <workbookProtection workbookPassword="C11F" lockStructure="1"/>
  <bookViews>
    <workbookView xWindow="0" yWindow="0" windowWidth="20490" windowHeight="7755"/>
  </bookViews>
  <sheets>
    <sheet name="EJECUCIÓN WEB" sheetId="1" r:id="rId1"/>
    <sheet name="METAS" sheetId="2" r:id="rId2"/>
  </sheets>
  <externalReferences>
    <externalReference r:id="rId3"/>
    <externalReference r:id="rId4"/>
  </externalReferenc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8" i="2" l="1"/>
  <c r="H27" i="2"/>
  <c r="H23" i="2"/>
  <c r="H17" i="2"/>
  <c r="H16" i="2"/>
  <c r="H12" i="2"/>
  <c r="L40" i="1"/>
  <c r="M40" i="1" s="1"/>
  <c r="H40" i="1"/>
  <c r="D40" i="1"/>
  <c r="E40" i="1" s="1"/>
  <c r="A40" i="1"/>
  <c r="C40" i="1" s="1"/>
  <c r="H39" i="1"/>
  <c r="D39" i="1"/>
  <c r="E39" i="1" s="1"/>
  <c r="C39" i="1"/>
  <c r="A39" i="1"/>
  <c r="F39" i="1" s="1"/>
  <c r="G39" i="1" s="1"/>
  <c r="N38" i="1"/>
  <c r="O38" i="1" s="1"/>
  <c r="K38" i="1"/>
  <c r="J38" i="1"/>
  <c r="H38" i="1"/>
  <c r="G38" i="1"/>
  <c r="F38" i="1"/>
  <c r="D38" i="1"/>
  <c r="E38" i="1" s="1"/>
  <c r="C38" i="1"/>
  <c r="L38" i="1" s="1"/>
  <c r="M38" i="1" s="1"/>
  <c r="B38" i="1"/>
  <c r="A38" i="1"/>
  <c r="I38" i="1" s="1"/>
  <c r="B37" i="1"/>
  <c r="A37" i="1"/>
  <c r="I37" i="1" s="1"/>
  <c r="A36" i="1"/>
  <c r="I35" i="1"/>
  <c r="D35" i="1"/>
  <c r="A35" i="1"/>
  <c r="J34" i="1"/>
  <c r="K34" i="1" s="1"/>
  <c r="H34" i="1"/>
  <c r="F34" i="1"/>
  <c r="G34" i="1" s="1"/>
  <c r="D34" i="1"/>
  <c r="E34" i="1" s="1"/>
  <c r="C34" i="1"/>
  <c r="N34" i="1" s="1"/>
  <c r="O34" i="1" s="1"/>
  <c r="B34" i="1"/>
  <c r="A34" i="1"/>
  <c r="I34" i="1" s="1"/>
  <c r="I33" i="1"/>
  <c r="C33" i="1"/>
  <c r="A33" i="1"/>
  <c r="M32" i="1"/>
  <c r="I32" i="1"/>
  <c r="H32" i="1"/>
  <c r="D32" i="1"/>
  <c r="E32" i="1" s="1"/>
  <c r="B32" i="1"/>
  <c r="A32" i="1"/>
  <c r="C32" i="1" s="1"/>
  <c r="L32" i="1" s="1"/>
  <c r="H31" i="1"/>
  <c r="A31" i="1"/>
  <c r="L30" i="1"/>
  <c r="M30" i="1" s="1"/>
  <c r="K30" i="1"/>
  <c r="H30" i="1"/>
  <c r="F30" i="1"/>
  <c r="G30" i="1" s="1"/>
  <c r="D30" i="1"/>
  <c r="C30" i="1"/>
  <c r="J30" i="1" s="1"/>
  <c r="B30" i="1"/>
  <c r="A30" i="1"/>
  <c r="I30" i="1" s="1"/>
  <c r="F29" i="1"/>
  <c r="B29" i="1"/>
  <c r="A29" i="1"/>
  <c r="N27" i="1"/>
  <c r="O27" i="1" s="1"/>
  <c r="H27" i="1"/>
  <c r="F27" i="1"/>
  <c r="D27" i="1"/>
  <c r="E27" i="1" s="1"/>
  <c r="C27" i="1"/>
  <c r="B27" i="1"/>
  <c r="A27" i="1"/>
  <c r="I27" i="1" s="1"/>
  <c r="I26" i="1"/>
  <c r="C26" i="1"/>
  <c r="A26" i="1"/>
  <c r="M25" i="1"/>
  <c r="I25" i="1"/>
  <c r="H25" i="1"/>
  <c r="J25" i="1" s="1"/>
  <c r="K25" i="1" s="1"/>
  <c r="D25" i="1"/>
  <c r="E25" i="1" s="1"/>
  <c r="B25" i="1"/>
  <c r="A25" i="1"/>
  <c r="C25" i="1" s="1"/>
  <c r="L25" i="1" s="1"/>
  <c r="H24" i="1"/>
  <c r="A24" i="1"/>
  <c r="L23" i="1"/>
  <c r="M23" i="1" s="1"/>
  <c r="K23" i="1"/>
  <c r="H23" i="1"/>
  <c r="F23" i="1"/>
  <c r="G23" i="1" s="1"/>
  <c r="D23" i="1"/>
  <c r="C23" i="1"/>
  <c r="J23" i="1" s="1"/>
  <c r="B23" i="1"/>
  <c r="A23" i="1"/>
  <c r="I23" i="1" s="1"/>
  <c r="F22" i="1"/>
  <c r="B22" i="1"/>
  <c r="A22" i="1"/>
  <c r="F21" i="1"/>
  <c r="A21" i="1"/>
  <c r="I20" i="1"/>
  <c r="D20" i="1"/>
  <c r="A20" i="1"/>
  <c r="H19" i="1"/>
  <c r="F19" i="1"/>
  <c r="D19" i="1"/>
  <c r="C19" i="1"/>
  <c r="L19" i="1" s="1"/>
  <c r="M19" i="1" s="1"/>
  <c r="B19" i="1"/>
  <c r="A19" i="1"/>
  <c r="I19" i="1" s="1"/>
  <c r="A18" i="1"/>
  <c r="H16" i="1"/>
  <c r="F16" i="1"/>
  <c r="D16" i="1"/>
  <c r="C16" i="1"/>
  <c r="L16" i="1" s="1"/>
  <c r="M16" i="1" s="1"/>
  <c r="B16" i="1"/>
  <c r="A16" i="1"/>
  <c r="I16" i="1" s="1"/>
  <c r="I15" i="1"/>
  <c r="I14" i="1" s="1"/>
  <c r="C15" i="1"/>
  <c r="B15" i="1"/>
  <c r="A15" i="1"/>
  <c r="B14" i="1"/>
  <c r="K13" i="1"/>
  <c r="J13" i="1"/>
  <c r="H13" i="1"/>
  <c r="F13" i="1"/>
  <c r="G13" i="1" s="1"/>
  <c r="D13" i="1"/>
  <c r="E13" i="1" s="1"/>
  <c r="C13" i="1"/>
  <c r="N13" i="1" s="1"/>
  <c r="O13" i="1" s="1"/>
  <c r="B13" i="1"/>
  <c r="A13" i="1"/>
  <c r="I13" i="1" s="1"/>
  <c r="A12" i="1"/>
  <c r="B12" i="1" s="1"/>
  <c r="I11" i="1"/>
  <c r="E11" i="1"/>
  <c r="D11" i="1"/>
  <c r="A11" i="1"/>
  <c r="C11" i="1" s="1"/>
  <c r="L11" i="1" s="1"/>
  <c r="M11" i="1" s="1"/>
  <c r="I10" i="1"/>
  <c r="H10" i="1"/>
  <c r="D10" i="1"/>
  <c r="E10" i="1" s="1"/>
  <c r="C10" i="1"/>
  <c r="L10" i="1" s="1"/>
  <c r="A10" i="1"/>
  <c r="B4" i="1"/>
  <c r="E15" i="2"/>
  <c r="D25" i="2"/>
  <c r="D15" i="2"/>
  <c r="D13" i="2"/>
  <c r="C26" i="2"/>
  <c r="C24" i="2"/>
  <c r="C15" i="2"/>
  <c r="C13" i="2"/>
  <c r="E27" i="2"/>
  <c r="E26" i="2"/>
  <c r="E25" i="2"/>
  <c r="E24" i="2"/>
  <c r="E16" i="2"/>
  <c r="E14" i="2"/>
  <c r="E13" i="2"/>
  <c r="D27" i="2"/>
  <c r="D26" i="2"/>
  <c r="D24" i="2"/>
  <c r="D16" i="2"/>
  <c r="D14" i="2"/>
  <c r="C27" i="2"/>
  <c r="C25" i="2"/>
  <c r="C16" i="2"/>
  <c r="C14" i="2"/>
  <c r="G16" i="2" l="1"/>
  <c r="J16" i="2" s="1"/>
  <c r="D23" i="2"/>
  <c r="G27" i="2"/>
  <c r="J27" i="2" s="1"/>
  <c r="F13" i="2"/>
  <c r="E12" i="2"/>
  <c r="F14" i="2"/>
  <c r="F16" i="2"/>
  <c r="I16" i="2" s="1"/>
  <c r="F24" i="2"/>
  <c r="E23" i="2"/>
  <c r="F25" i="2"/>
  <c r="F26" i="2"/>
  <c r="F27" i="2"/>
  <c r="I27" i="2" s="1"/>
  <c r="C12" i="2"/>
  <c r="C17" i="2" s="1"/>
  <c r="C23" i="2"/>
  <c r="C28" i="2" s="1"/>
  <c r="D12" i="2"/>
  <c r="F15" i="2"/>
  <c r="M10" i="1"/>
  <c r="L15" i="1"/>
  <c r="C14" i="1"/>
  <c r="H18" i="1"/>
  <c r="D18" i="1"/>
  <c r="F18" i="1"/>
  <c r="F11" i="1"/>
  <c r="E16" i="1"/>
  <c r="E19" i="1"/>
  <c r="N19" i="1"/>
  <c r="O19" i="1" s="1"/>
  <c r="C21" i="1"/>
  <c r="I21" i="1"/>
  <c r="D21" i="1"/>
  <c r="E21" i="1" s="1"/>
  <c r="H21" i="1"/>
  <c r="B21" i="1"/>
  <c r="F24" i="1"/>
  <c r="B24" i="1"/>
  <c r="I24" i="1"/>
  <c r="D24" i="1"/>
  <c r="G27" i="1"/>
  <c r="G29" i="1"/>
  <c r="F31" i="1"/>
  <c r="B31" i="1"/>
  <c r="I31" i="1"/>
  <c r="D31" i="1"/>
  <c r="C36" i="1"/>
  <c r="I36" i="1"/>
  <c r="D36" i="1"/>
  <c r="H36" i="1"/>
  <c r="B36" i="1"/>
  <c r="H12" i="1"/>
  <c r="D12" i="1"/>
  <c r="F12" i="1"/>
  <c r="G12" i="1" s="1"/>
  <c r="N16" i="1"/>
  <c r="O16" i="1" s="1"/>
  <c r="J19" i="1"/>
  <c r="K19" i="1" s="1"/>
  <c r="L13" i="1"/>
  <c r="M13" i="1" s="1"/>
  <c r="J15" i="1"/>
  <c r="J16" i="1"/>
  <c r="K16" i="1" s="1"/>
  <c r="B18" i="1"/>
  <c r="F10" i="1"/>
  <c r="B10" i="1"/>
  <c r="B9" i="1" s="1"/>
  <c r="B11" i="1"/>
  <c r="H11" i="1"/>
  <c r="C12" i="1"/>
  <c r="I12" i="1"/>
  <c r="I9" i="1" s="1"/>
  <c r="H15" i="1"/>
  <c r="H14" i="1" s="1"/>
  <c r="D15" i="1"/>
  <c r="F15" i="1"/>
  <c r="C18" i="1"/>
  <c r="I18" i="1"/>
  <c r="G19" i="1"/>
  <c r="H22" i="1"/>
  <c r="D22" i="1"/>
  <c r="E22" i="1" s="1"/>
  <c r="I22" i="1"/>
  <c r="C22" i="1"/>
  <c r="G22" i="1" s="1"/>
  <c r="C24" i="1"/>
  <c r="H29" i="1"/>
  <c r="D29" i="1"/>
  <c r="I29" i="1"/>
  <c r="C29" i="1"/>
  <c r="C31" i="1"/>
  <c r="F36" i="1"/>
  <c r="G36" i="1" s="1"/>
  <c r="N10" i="1"/>
  <c r="J10" i="1"/>
  <c r="G16" i="1"/>
  <c r="G21" i="1"/>
  <c r="N26" i="1"/>
  <c r="O26" i="1" s="1"/>
  <c r="L27" i="1"/>
  <c r="M27" i="1" s="1"/>
  <c r="J27" i="1"/>
  <c r="K27" i="1" s="1"/>
  <c r="L33" i="1"/>
  <c r="M33" i="1" s="1"/>
  <c r="F20" i="1"/>
  <c r="B20" i="1"/>
  <c r="N23" i="1"/>
  <c r="O23" i="1" s="1"/>
  <c r="H26" i="1"/>
  <c r="J26" i="1" s="1"/>
  <c r="K26" i="1" s="1"/>
  <c r="D26" i="1"/>
  <c r="E26" i="1" s="1"/>
  <c r="F26" i="1"/>
  <c r="G26" i="1" s="1"/>
  <c r="N30" i="1"/>
  <c r="O30" i="1" s="1"/>
  <c r="J32" i="1"/>
  <c r="K32" i="1" s="1"/>
  <c r="H33" i="1"/>
  <c r="J33" i="1" s="1"/>
  <c r="K33" i="1" s="1"/>
  <c r="D33" i="1"/>
  <c r="E33" i="1" s="1"/>
  <c r="F33" i="1"/>
  <c r="G33" i="1" s="1"/>
  <c r="F35" i="1"/>
  <c r="G35" i="1" s="1"/>
  <c r="B35" i="1"/>
  <c r="C37" i="1"/>
  <c r="N40" i="1"/>
  <c r="O40" i="1" s="1"/>
  <c r="J40" i="1"/>
  <c r="K40" i="1" s="1"/>
  <c r="C20" i="1"/>
  <c r="H20" i="1"/>
  <c r="E23" i="1"/>
  <c r="F25" i="1"/>
  <c r="B26" i="1"/>
  <c r="E30" i="1"/>
  <c r="F32" i="1"/>
  <c r="F28" i="1" s="1"/>
  <c r="B33" i="1"/>
  <c r="B28" i="1" s="1"/>
  <c r="L34" i="1"/>
  <c r="M34" i="1" s="1"/>
  <c r="C35" i="1"/>
  <c r="H35" i="1"/>
  <c r="H37" i="1"/>
  <c r="D37" i="1"/>
  <c r="E37" i="1" s="1"/>
  <c r="F37" i="1"/>
  <c r="G37" i="1" s="1"/>
  <c r="N39" i="1"/>
  <c r="O39" i="1" s="1"/>
  <c r="J39" i="1"/>
  <c r="K39" i="1" s="1"/>
  <c r="L39" i="1"/>
  <c r="M39" i="1" s="1"/>
  <c r="I40" i="1"/>
  <c r="I39" i="1"/>
  <c r="B40" i="1"/>
  <c r="F40" i="1"/>
  <c r="G40" i="1" s="1"/>
  <c r="B39" i="1"/>
  <c r="D17" i="2" l="1"/>
  <c r="G12" i="2"/>
  <c r="D28" i="2"/>
  <c r="G23" i="2"/>
  <c r="F23" i="2"/>
  <c r="I23" i="2" s="1"/>
  <c r="E28" i="2"/>
  <c r="F28" i="2" s="1"/>
  <c r="I28" i="2" s="1"/>
  <c r="F12" i="2"/>
  <c r="I12" i="2" s="1"/>
  <c r="E17" i="2"/>
  <c r="F17" i="2" s="1"/>
  <c r="I17" i="2" s="1"/>
  <c r="L18" i="1"/>
  <c r="C17" i="1"/>
  <c r="J18" i="1"/>
  <c r="N18" i="1"/>
  <c r="K15" i="1"/>
  <c r="J14" i="1"/>
  <c r="K14" i="1" s="1"/>
  <c r="E18" i="1"/>
  <c r="D17" i="1"/>
  <c r="M15" i="1"/>
  <c r="L14" i="1"/>
  <c r="M14" i="1" s="1"/>
  <c r="N35" i="1"/>
  <c r="O35" i="1" s="1"/>
  <c r="J35" i="1"/>
  <c r="K35" i="1" s="1"/>
  <c r="L35" i="1"/>
  <c r="M35" i="1" s="1"/>
  <c r="E35" i="1"/>
  <c r="L37" i="1"/>
  <c r="M37" i="1" s="1"/>
  <c r="J37" i="1"/>
  <c r="K37" i="1" s="1"/>
  <c r="N37" i="1"/>
  <c r="O37" i="1" s="1"/>
  <c r="L26" i="1"/>
  <c r="M26" i="1" s="1"/>
  <c r="O10" i="1"/>
  <c r="L29" i="1"/>
  <c r="C28" i="1"/>
  <c r="G28" i="1" s="1"/>
  <c r="J29" i="1"/>
  <c r="N29" i="1"/>
  <c r="N24" i="1"/>
  <c r="O24" i="1" s="1"/>
  <c r="J24" i="1"/>
  <c r="K24" i="1" s="1"/>
  <c r="L24" i="1"/>
  <c r="M24" i="1" s="1"/>
  <c r="G15" i="1"/>
  <c r="F14" i="1"/>
  <c r="G14" i="1" s="1"/>
  <c r="L12" i="1"/>
  <c r="J12" i="1"/>
  <c r="K12" i="1" s="1"/>
  <c r="C9" i="1"/>
  <c r="N12" i="1"/>
  <c r="O12" i="1" s="1"/>
  <c r="G10" i="1"/>
  <c r="F9" i="1"/>
  <c r="E12" i="1"/>
  <c r="D9" i="1"/>
  <c r="E36" i="1"/>
  <c r="G24" i="1"/>
  <c r="H17" i="1"/>
  <c r="N31" i="1"/>
  <c r="O31" i="1" s="1"/>
  <c r="J31" i="1"/>
  <c r="K31" i="1" s="1"/>
  <c r="L31" i="1"/>
  <c r="M31" i="1" s="1"/>
  <c r="N20" i="1"/>
  <c r="O20" i="1" s="1"/>
  <c r="J20" i="1"/>
  <c r="K20" i="1" s="1"/>
  <c r="L20" i="1"/>
  <c r="M20" i="1" s="1"/>
  <c r="G20" i="1"/>
  <c r="I28" i="1"/>
  <c r="L22" i="1"/>
  <c r="M22" i="1" s="1"/>
  <c r="J22" i="1"/>
  <c r="K22" i="1" s="1"/>
  <c r="N22" i="1"/>
  <c r="O22" i="1" s="1"/>
  <c r="E15" i="1"/>
  <c r="D14" i="1"/>
  <c r="E14" i="1" s="1"/>
  <c r="J11" i="1"/>
  <c r="K11" i="1" s="1"/>
  <c r="H9" i="1"/>
  <c r="B17" i="1"/>
  <c r="B8" i="1" s="1"/>
  <c r="B41" i="1" s="1"/>
  <c r="B42" i="1" s="1"/>
  <c r="E24" i="1"/>
  <c r="N21" i="1"/>
  <c r="O21" i="1" s="1"/>
  <c r="J21" i="1"/>
  <c r="K21" i="1" s="1"/>
  <c r="L21" i="1"/>
  <c r="M21" i="1" s="1"/>
  <c r="G11" i="1"/>
  <c r="N11" i="1"/>
  <c r="O11" i="1" s="1"/>
  <c r="N15" i="1"/>
  <c r="G32" i="1"/>
  <c r="N32" i="1"/>
  <c r="O32" i="1" s="1"/>
  <c r="K10" i="1"/>
  <c r="J9" i="1"/>
  <c r="H28" i="1"/>
  <c r="E31" i="1"/>
  <c r="G25" i="1"/>
  <c r="N25" i="1"/>
  <c r="O25" i="1" s="1"/>
  <c r="N33" i="1"/>
  <c r="O33" i="1" s="1"/>
  <c r="E29" i="1"/>
  <c r="D28" i="1"/>
  <c r="E28" i="1" s="1"/>
  <c r="I17" i="1"/>
  <c r="I8" i="1" s="1"/>
  <c r="I41" i="1" s="1"/>
  <c r="I42" i="1" s="1"/>
  <c r="J36" i="1"/>
  <c r="K36" i="1" s="1"/>
  <c r="N36" i="1"/>
  <c r="O36" i="1" s="1"/>
  <c r="L36" i="1"/>
  <c r="M36" i="1" s="1"/>
  <c r="G31" i="1"/>
  <c r="F17" i="1"/>
  <c r="G18" i="1"/>
  <c r="E20" i="1"/>
  <c r="J23" i="2" l="1"/>
  <c r="G28" i="2"/>
  <c r="J28" i="2" s="1"/>
  <c r="J12" i="2"/>
  <c r="G17" i="2"/>
  <c r="J17" i="2" s="1"/>
  <c r="M29" i="1"/>
  <c r="L28" i="1"/>
  <c r="M28" i="1" s="1"/>
  <c r="C8" i="1"/>
  <c r="C41" i="1" s="1"/>
  <c r="O29" i="1"/>
  <c r="N28" i="1"/>
  <c r="O28" i="1" s="1"/>
  <c r="N9" i="1"/>
  <c r="E17" i="1"/>
  <c r="M18" i="1"/>
  <c r="L17" i="1"/>
  <c r="M17" i="1" s="1"/>
  <c r="K9" i="1"/>
  <c r="O15" i="1"/>
  <c r="N14" i="1"/>
  <c r="O14" i="1" s="1"/>
  <c r="H8" i="1"/>
  <c r="H41" i="1" s="1"/>
  <c r="H42" i="1" s="1"/>
  <c r="G9" i="1"/>
  <c r="F8" i="1"/>
  <c r="K29" i="1"/>
  <c r="J28" i="1"/>
  <c r="K28" i="1" s="1"/>
  <c r="N17" i="1"/>
  <c r="O17" i="1" s="1"/>
  <c r="O18" i="1"/>
  <c r="D8" i="1"/>
  <c r="E9" i="1"/>
  <c r="G17" i="1"/>
  <c r="M12" i="1"/>
  <c r="L9" i="1"/>
  <c r="K18" i="1"/>
  <c r="J17" i="1"/>
  <c r="K17" i="1" s="1"/>
  <c r="F41" i="1" l="1"/>
  <c r="G8" i="1"/>
  <c r="J8" i="1"/>
  <c r="C42" i="1"/>
  <c r="O9" i="1"/>
  <c r="N8" i="1"/>
  <c r="M9" i="1"/>
  <c r="L8" i="1"/>
  <c r="D41" i="1"/>
  <c r="E8" i="1"/>
  <c r="L41" i="1" l="1"/>
  <c r="M8" i="1"/>
  <c r="J41" i="1"/>
  <c r="K8" i="1"/>
  <c r="E41" i="1"/>
  <c r="E42" i="1"/>
  <c r="D42" i="1"/>
  <c r="N41" i="1"/>
  <c r="O8" i="1"/>
  <c r="G42" i="1"/>
  <c r="F42" i="1"/>
  <c r="G41" i="1"/>
  <c r="K42" i="1" l="1"/>
  <c r="K41" i="1"/>
  <c r="J42" i="1"/>
  <c r="M41" i="1"/>
  <c r="M42" i="1"/>
  <c r="O42" i="1"/>
  <c r="O41" i="1"/>
  <c r="N42" i="1"/>
  <c r="L42" i="1"/>
</calcChain>
</file>

<file path=xl/comments1.xml><?xml version="1.0" encoding="utf-8"?>
<comments xmlns="http://schemas.openxmlformats.org/spreadsheetml/2006/main">
  <authors>
    <author>Cesar Augusto Montaño Patarroyo</author>
  </authors>
  <commentList>
    <comment ref="G10" authorId="0" shapeId="0">
      <text>
        <r>
          <rPr>
            <b/>
            <sz val="9"/>
            <color indexed="81"/>
            <rFont val="Tahoma"/>
            <family val="2"/>
          </rPr>
          <t>Cesar Augusto Montaño Patarroyo:</t>
        </r>
        <r>
          <rPr>
            <sz val="9"/>
            <color indexed="81"/>
            <rFont val="Tahoma"/>
            <family val="2"/>
          </rPr>
          <t xml:space="preserve">
La meta evaluada, de acuerdo al compromiso de desempeño concertado con el MINCIT, se establece en función del valor porcentual de la meta. Para obtener la cifra monetaria será función de la meta porcentual y de la aprop. vigente.</t>
        </r>
      </text>
    </comment>
  </commentList>
</comments>
</file>

<file path=xl/sharedStrings.xml><?xml version="1.0" encoding="utf-8"?>
<sst xmlns="http://schemas.openxmlformats.org/spreadsheetml/2006/main" count="64" uniqueCount="37">
  <si>
    <t>SUPERINTENDENCIA DE INDUSTRIA Y COMERCIO</t>
  </si>
  <si>
    <t>INFORME DE EJECUCIÓN PRESUPUESTAL</t>
  </si>
  <si>
    <t>SISTEMA INTEGRADO DE INFORMACIÓN FINANCIERA - SIIF NACIÓN</t>
  </si>
  <si>
    <t>CONCEPTO</t>
  </si>
  <si>
    <t xml:space="preserve"> APR. INICIAL</t>
  </si>
  <si>
    <t xml:space="preserve"> APR. VIGENTE</t>
  </si>
  <si>
    <t xml:space="preserve"> COMPROMISO</t>
  </si>
  <si>
    <t>% 
COMPROMISO</t>
  </si>
  <si>
    <t xml:space="preserve"> OBLIGACION</t>
  </si>
  <si>
    <t>% OBLIGADO</t>
  </si>
  <si>
    <t>CDP</t>
  </si>
  <si>
    <t xml:space="preserve"> PAGOS</t>
  </si>
  <si>
    <t>APROP. SIN CDP</t>
  </si>
  <si>
    <t>% APROP. SIN CDP</t>
  </si>
  <si>
    <t>APROP. SIN COMPROMETER</t>
  </si>
  <si>
    <t xml:space="preserve">% APROP. SIN COMPROMETER </t>
  </si>
  <si>
    <t>APROP. SIN OBLIGAR</t>
  </si>
  <si>
    <t>% APROP. SIN OBLIGAR</t>
  </si>
  <si>
    <t>Gastos de Funcionamiento</t>
  </si>
  <si>
    <t>Gastos de Personal</t>
  </si>
  <si>
    <t>Gastos Generales</t>
  </si>
  <si>
    <t>Transferencias Corrientes</t>
  </si>
  <si>
    <t>Gastos de Inversión</t>
  </si>
  <si>
    <t>TOTAL</t>
  </si>
  <si>
    <t>METAS EJECUCIÓN - ACUERDO DE DESEMPEÑO MINCIT</t>
  </si>
  <si>
    <t>MARZO - 2020</t>
  </si>
  <si>
    <t>COMPROMISOS</t>
  </si>
  <si>
    <t>SIIF NACIÓN</t>
  </si>
  <si>
    <t>META MINCIT</t>
  </si>
  <si>
    <t>AVANCE META</t>
  </si>
  <si>
    <t>APROP. INICIAL</t>
  </si>
  <si>
    <t>APROP. VIGENTE</t>
  </si>
  <si>
    <t>$</t>
  </si>
  <si>
    <t>%</t>
  </si>
  <si>
    <t>POR EJECUTAR $</t>
  </si>
  <si>
    <t>Inversión</t>
  </si>
  <si>
    <t>OBLIGACIONES</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</si>
</sst>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_-;\-* #,##0.00_-;_-* &quot;-&quot;??_-;_-@_-"/>
    <numFmt numFmtId="164" formatCode="_-* #,##0_-;\-* #,##0_-;_-* &quot;-&quot;??_-;_-@_-"/>
    <numFmt numFmtId="165" formatCode="0.0%"/>
    <numFmt numFmtId="166" formatCode="0.000%"/>
    <numFmt numFmtId="167" formatCode="_(* #,##0.00_);_(* \(#,##0.00\);_(* &quot;-&quot;??_);_(@_)"/>
    <numFmt numFmtId="168" formatCode="_(&quot;$&quot;\ * #,##0.00_);_(&quot;$&quot;\ * \(#,##0.00\);_(&quot;$&quot;\ * &quot;-&quot;??_);_(@_)"/>
    <numFmt numFmtId="169" formatCode="_(&quot;$&quot;\ * #,##0_);_(&quot;$&quot;\ * \(#,##0\);_(&quot;$&quot;\ * &quot;-&quot;??_);_(@_)"/>
  </numFmts>
  <fonts count="24" x14ac:knownFonts="1">
    <font>
      <sz val="11"/>
      <color theme="1"/>
      <name val="Calibri"/>
      <family val="2"/>
      <scheme val="minor"/>
    </font>
    <font>
      <sz val="11"/>
      <color theme="1"/>
      <name val="Calibri"/>
      <family val="2"/>
      <scheme val="minor"/>
    </font>
    <font>
      <sz val="11"/>
      <color rgb="FF000000"/>
      <name val="Calibri"/>
      <family val="2"/>
      <scheme val="minor"/>
    </font>
    <font>
      <sz val="12"/>
      <name val="Arial"/>
      <family val="2"/>
    </font>
    <font>
      <b/>
      <u val="double"/>
      <sz val="16"/>
      <color rgb="FF002060"/>
      <name val="Arial"/>
      <family val="2"/>
    </font>
    <font>
      <i/>
      <sz val="11"/>
      <name val="Arial"/>
      <family val="2"/>
    </font>
    <font>
      <b/>
      <sz val="11"/>
      <color theme="0"/>
      <name val="Arial"/>
      <family val="2"/>
    </font>
    <font>
      <b/>
      <sz val="11"/>
      <color rgb="FF000000"/>
      <name val="Arial"/>
      <family val="2"/>
    </font>
    <font>
      <b/>
      <sz val="11"/>
      <name val="Arial"/>
      <family val="2"/>
    </font>
    <font>
      <b/>
      <sz val="12"/>
      <name val="Arial"/>
      <family val="2"/>
    </font>
    <font>
      <sz val="11"/>
      <color rgb="FF000000"/>
      <name val="Arial"/>
      <family val="2"/>
    </font>
    <font>
      <sz val="11"/>
      <name val="Arial"/>
      <family val="2"/>
    </font>
    <font>
      <sz val="12"/>
      <color theme="0"/>
      <name val="Arial"/>
      <family val="2"/>
    </font>
    <font>
      <sz val="11"/>
      <name val="Calibri"/>
      <family val="2"/>
    </font>
    <font>
      <b/>
      <sz val="26"/>
      <name val="Calibri"/>
      <family val="2"/>
    </font>
    <font>
      <sz val="11"/>
      <name val="Arial Narrow"/>
      <family val="2"/>
    </font>
    <font>
      <b/>
      <sz val="11"/>
      <color theme="3" tint="-0.249977111117893"/>
      <name val="Arial Narrow"/>
      <family val="2"/>
    </font>
    <font>
      <b/>
      <sz val="11"/>
      <color rgb="FFFFCC00"/>
      <name val="Arial Narrow"/>
      <family val="2"/>
    </font>
    <font>
      <b/>
      <sz val="11"/>
      <name val="Arial Narrow"/>
      <family val="2"/>
    </font>
    <font>
      <b/>
      <sz val="11"/>
      <color theme="1"/>
      <name val="Arial Narrow"/>
      <family val="2"/>
    </font>
    <font>
      <b/>
      <sz val="9"/>
      <color rgb="FFFFCC00"/>
      <name val="Arial Narrow"/>
      <family val="2"/>
    </font>
    <font>
      <sz val="11"/>
      <color rgb="FF000000"/>
      <name val="Arial Narrow"/>
      <family val="2"/>
    </font>
    <font>
      <b/>
      <sz val="9"/>
      <color indexed="81"/>
      <name val="Tahoma"/>
      <family val="2"/>
    </font>
    <font>
      <sz val="9"/>
      <color indexed="81"/>
      <name val="Tahoma"/>
      <family val="2"/>
    </font>
  </fonts>
  <fills count="9">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rgb="FFFFCC00"/>
        <bgColor indexed="64"/>
      </patternFill>
    </fill>
    <fill>
      <patternFill patternType="solid">
        <fgColor theme="4" tint="0.59999389629810485"/>
        <bgColor indexed="64"/>
      </patternFill>
    </fill>
    <fill>
      <patternFill patternType="solid">
        <fgColor theme="5" tint="0.39997558519241921"/>
        <bgColor indexed="64"/>
      </patternFill>
    </fill>
    <fill>
      <patternFill patternType="solid">
        <fgColor theme="0" tint="-0.499984740745262"/>
        <bgColor indexed="64"/>
      </patternFill>
    </fill>
    <fill>
      <patternFill patternType="solid">
        <fgColor theme="0" tint="-0.249977111117893"/>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medium">
        <color indexed="64"/>
      </bottom>
      <diagonal/>
    </border>
  </borders>
  <cellStyleXfs count="7">
    <xf numFmtId="0" fontId="0"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167" fontId="2" fillId="0" borderId="0" applyFont="0" applyFill="0" applyBorder="0" applyAlignment="0" applyProtection="0"/>
    <xf numFmtId="168" fontId="2" fillId="0" borderId="0" applyFont="0" applyFill="0" applyBorder="0" applyAlignment="0" applyProtection="0"/>
  </cellStyleXfs>
  <cellXfs count="96">
    <xf numFmtId="0" fontId="0" fillId="0" borderId="0" xfId="0"/>
    <xf numFmtId="0" fontId="3" fillId="2" borderId="0" xfId="1" applyFont="1" applyFill="1" applyBorder="1" applyAlignment="1">
      <alignment vertical="center"/>
    </xf>
    <xf numFmtId="0" fontId="4" fillId="2" borderId="0" xfId="1" applyFont="1" applyFill="1" applyBorder="1" applyAlignment="1">
      <alignment vertical="center"/>
    </xf>
    <xf numFmtId="164" fontId="3" fillId="2" borderId="0" xfId="2" applyNumberFormat="1" applyFont="1" applyFill="1" applyBorder="1" applyAlignment="1">
      <alignment vertical="center"/>
    </xf>
    <xf numFmtId="9" fontId="3" fillId="2" borderId="0" xfId="3" applyFont="1" applyFill="1" applyBorder="1" applyAlignment="1">
      <alignment vertical="center"/>
    </xf>
    <xf numFmtId="0" fontId="3" fillId="0" borderId="0" xfId="1" applyFont="1" applyFill="1" applyBorder="1" applyAlignment="1">
      <alignment vertical="center"/>
    </xf>
    <xf numFmtId="0" fontId="5" fillId="2" borderId="0" xfId="1" applyFont="1" applyFill="1" applyBorder="1" applyAlignment="1">
      <alignment vertical="center"/>
    </xf>
    <xf numFmtId="17" fontId="5" fillId="2" borderId="0" xfId="1" quotePrefix="1" applyNumberFormat="1" applyFont="1" applyFill="1" applyBorder="1" applyAlignment="1">
      <alignment vertical="center"/>
    </xf>
    <xf numFmtId="164" fontId="3" fillId="2" borderId="0" xfId="1" applyNumberFormat="1" applyFont="1" applyFill="1" applyBorder="1" applyAlignment="1">
      <alignment vertical="center"/>
    </xf>
    <xf numFmtId="0" fontId="6" fillId="3" borderId="1" xfId="1" applyFont="1" applyFill="1" applyBorder="1" applyAlignment="1">
      <alignment horizontal="center" vertical="center"/>
    </xf>
    <xf numFmtId="164" fontId="6" fillId="3" borderId="1" xfId="2" applyNumberFormat="1" applyFont="1" applyFill="1" applyBorder="1" applyAlignment="1">
      <alignment horizontal="center" vertical="center"/>
    </xf>
    <xf numFmtId="165" fontId="6" fillId="3" borderId="1" xfId="3" applyNumberFormat="1" applyFont="1" applyFill="1" applyBorder="1" applyAlignment="1">
      <alignment horizontal="center" vertical="center" wrapText="1"/>
    </xf>
    <xf numFmtId="10" fontId="6" fillId="3" borderId="1" xfId="3" applyNumberFormat="1" applyFont="1" applyFill="1" applyBorder="1" applyAlignment="1">
      <alignment horizontal="center" vertical="center"/>
    </xf>
    <xf numFmtId="164" fontId="6" fillId="3" borderId="1" xfId="2" applyNumberFormat="1" applyFont="1" applyFill="1" applyBorder="1" applyAlignment="1">
      <alignment horizontal="center" vertical="center" wrapText="1"/>
    </xf>
    <xf numFmtId="9" fontId="6" fillId="3" borderId="1" xfId="3" applyFont="1" applyFill="1" applyBorder="1" applyAlignment="1">
      <alignment horizontal="center" vertical="center" wrapText="1"/>
    </xf>
    <xf numFmtId="0" fontId="7" fillId="4" borderId="1" xfId="1" applyNumberFormat="1" applyFont="1" applyFill="1" applyBorder="1" applyAlignment="1">
      <alignment horizontal="left" vertical="center" wrapText="1"/>
    </xf>
    <xf numFmtId="164" fontId="8" fillId="4" borderId="1" xfId="2" applyNumberFormat="1" applyFont="1" applyFill="1" applyBorder="1" applyAlignment="1">
      <alignment vertical="center"/>
    </xf>
    <xf numFmtId="165" fontId="8" fillId="4" borderId="1" xfId="3" applyNumberFormat="1" applyFont="1" applyFill="1" applyBorder="1" applyAlignment="1">
      <alignment horizontal="center" vertical="center"/>
    </xf>
    <xf numFmtId="0" fontId="9" fillId="0" borderId="0" xfId="1" applyFont="1" applyFill="1" applyBorder="1" applyAlignment="1">
      <alignment vertical="center"/>
    </xf>
    <xf numFmtId="0" fontId="7" fillId="5" borderId="1" xfId="1" applyNumberFormat="1" applyFont="1" applyFill="1" applyBorder="1" applyAlignment="1">
      <alignment horizontal="left" vertical="center" wrapText="1"/>
    </xf>
    <xf numFmtId="164" fontId="8" fillId="5" borderId="1" xfId="2" applyNumberFormat="1" applyFont="1" applyFill="1" applyBorder="1" applyAlignment="1">
      <alignment vertical="center"/>
    </xf>
    <xf numFmtId="165" fontId="8" fillId="5" borderId="1" xfId="3" applyNumberFormat="1" applyFont="1" applyFill="1" applyBorder="1" applyAlignment="1">
      <alignment horizontal="center" vertical="center"/>
    </xf>
    <xf numFmtId="0" fontId="10" fillId="0" borderId="1" xfId="1" applyNumberFormat="1" applyFont="1" applyFill="1" applyBorder="1" applyAlignment="1">
      <alignment horizontal="left" vertical="center" wrapText="1"/>
    </xf>
    <xf numFmtId="164" fontId="11" fillId="0" borderId="1" xfId="2" applyNumberFormat="1" applyFont="1" applyFill="1" applyBorder="1" applyAlignment="1">
      <alignment vertical="center"/>
    </xf>
    <xf numFmtId="3" fontId="11" fillId="0" borderId="1" xfId="1" applyNumberFormat="1" applyFont="1" applyFill="1" applyBorder="1" applyAlignment="1">
      <alignment vertical="center"/>
    </xf>
    <xf numFmtId="165" fontId="11" fillId="0" borderId="1" xfId="3" applyNumberFormat="1" applyFont="1" applyFill="1" applyBorder="1" applyAlignment="1">
      <alignment horizontal="center" vertical="center"/>
    </xf>
    <xf numFmtId="0" fontId="8" fillId="4" borderId="1" xfId="1" applyFont="1" applyFill="1" applyBorder="1" applyAlignment="1">
      <alignment vertical="center"/>
    </xf>
    <xf numFmtId="164" fontId="8" fillId="4" borderId="1" xfId="1" applyNumberFormat="1" applyFont="1" applyFill="1" applyBorder="1" applyAlignment="1">
      <alignment vertical="center"/>
    </xf>
    <xf numFmtId="0" fontId="12" fillId="0" borderId="0" xfId="1" applyFont="1" applyFill="1" applyBorder="1" applyAlignment="1">
      <alignment vertical="center"/>
    </xf>
    <xf numFmtId="164" fontId="12" fillId="0" borderId="0" xfId="2" applyNumberFormat="1" applyFont="1" applyFill="1" applyBorder="1" applyAlignment="1">
      <alignment vertical="center"/>
    </xf>
    <xf numFmtId="164" fontId="12" fillId="0" borderId="0" xfId="1" applyNumberFormat="1" applyFont="1" applyFill="1" applyBorder="1" applyAlignment="1">
      <alignment vertical="center"/>
    </xf>
    <xf numFmtId="10" fontId="12" fillId="0" borderId="0" xfId="3" applyNumberFormat="1" applyFont="1" applyFill="1" applyBorder="1" applyAlignment="1">
      <alignment vertical="center"/>
    </xf>
    <xf numFmtId="165" fontId="12" fillId="0" borderId="0" xfId="3" applyNumberFormat="1" applyFont="1" applyFill="1" applyBorder="1" applyAlignment="1">
      <alignment horizontal="center" vertical="center"/>
    </xf>
    <xf numFmtId="164" fontId="3" fillId="0" borderId="0" xfId="1" applyNumberFormat="1" applyFont="1" applyFill="1" applyBorder="1" applyAlignment="1">
      <alignment vertical="center"/>
    </xf>
    <xf numFmtId="166" fontId="3" fillId="0" borderId="0" xfId="4" applyNumberFormat="1" applyFont="1" applyFill="1" applyBorder="1" applyAlignment="1">
      <alignment vertical="center"/>
    </xf>
    <xf numFmtId="164" fontId="3" fillId="0" borderId="0" xfId="2" applyNumberFormat="1" applyFont="1" applyFill="1" applyBorder="1" applyAlignment="1">
      <alignment vertical="center"/>
    </xf>
    <xf numFmtId="9" fontId="3" fillId="0" borderId="0" xfId="3" applyFont="1" applyFill="1" applyBorder="1" applyAlignment="1">
      <alignment vertical="center"/>
    </xf>
    <xf numFmtId="0" fontId="13" fillId="2" borderId="0" xfId="1" applyFont="1" applyFill="1" applyBorder="1"/>
    <xf numFmtId="0" fontId="13" fillId="0" borderId="0" xfId="1" applyFont="1" applyFill="1" applyBorder="1"/>
    <xf numFmtId="10" fontId="13" fillId="2" borderId="0" xfId="1" applyNumberFormat="1" applyFont="1" applyFill="1" applyBorder="1"/>
    <xf numFmtId="0" fontId="15" fillId="2" borderId="0" xfId="1" applyFont="1" applyFill="1" applyBorder="1"/>
    <xf numFmtId="0" fontId="15" fillId="0" borderId="0" xfId="1" applyFont="1" applyFill="1" applyBorder="1"/>
    <xf numFmtId="0" fontId="19" fillId="7" borderId="5" xfId="1" applyFont="1" applyFill="1" applyBorder="1" applyAlignment="1">
      <alignment horizontal="center" vertical="center"/>
    </xf>
    <xf numFmtId="0" fontId="16" fillId="4" borderId="5" xfId="1" applyFont="1" applyFill="1" applyBorder="1" applyAlignment="1">
      <alignment horizontal="center" vertical="center"/>
    </xf>
    <xf numFmtId="0" fontId="17" fillId="3" borderId="5" xfId="1" applyFont="1" applyFill="1" applyBorder="1" applyAlignment="1">
      <alignment horizontal="center" vertical="center"/>
    </xf>
    <xf numFmtId="0" fontId="17" fillId="3" borderId="2" xfId="1" applyFont="1" applyFill="1" applyBorder="1" applyAlignment="1">
      <alignment horizontal="center" vertical="center"/>
    </xf>
    <xf numFmtId="0" fontId="20" fillId="3" borderId="5" xfId="1" applyFont="1" applyFill="1" applyBorder="1" applyAlignment="1">
      <alignment horizontal="center" vertical="center"/>
    </xf>
    <xf numFmtId="0" fontId="19" fillId="8" borderId="7" xfId="1" applyFont="1" applyFill="1" applyBorder="1"/>
    <xf numFmtId="167" fontId="19" fillId="0" borderId="7" xfId="5" applyFont="1" applyBorder="1"/>
    <xf numFmtId="10" fontId="19" fillId="0" borderId="7" xfId="3" applyNumberFormat="1" applyFont="1" applyBorder="1"/>
    <xf numFmtId="0" fontId="21" fillId="8" borderId="8" xfId="1" applyFont="1" applyFill="1" applyBorder="1"/>
    <xf numFmtId="167" fontId="21" fillId="0" borderId="8" xfId="5" applyFont="1" applyBorder="1"/>
    <xf numFmtId="10" fontId="21" fillId="0" borderId="8" xfId="3" applyNumberFormat="1" applyFont="1" applyBorder="1"/>
    <xf numFmtId="10" fontId="15" fillId="2" borderId="0" xfId="3" applyNumberFormat="1" applyFont="1" applyFill="1" applyBorder="1"/>
    <xf numFmtId="0" fontId="21" fillId="8" borderId="10" xfId="1" applyFont="1" applyFill="1" applyBorder="1"/>
    <xf numFmtId="167" fontId="21" fillId="0" borderId="10" xfId="5" applyFont="1" applyBorder="1"/>
    <xf numFmtId="10" fontId="21" fillId="0" borderId="10" xfId="3" applyNumberFormat="1" applyFont="1" applyBorder="1"/>
    <xf numFmtId="0" fontId="19" fillId="8" borderId="5" xfId="1" applyFont="1" applyFill="1" applyBorder="1"/>
    <xf numFmtId="167" fontId="19" fillId="0" borderId="5" xfId="5" applyFont="1" applyBorder="1"/>
    <xf numFmtId="10" fontId="19" fillId="0" borderId="5" xfId="3" applyNumberFormat="1" applyFont="1" applyBorder="1"/>
    <xf numFmtId="10" fontId="19" fillId="0" borderId="7" xfId="3" applyNumberFormat="1" applyFont="1" applyBorder="1" applyAlignment="1">
      <alignment horizontal="center" vertical="center"/>
    </xf>
    <xf numFmtId="169" fontId="19" fillId="0" borderId="7" xfId="6" applyNumberFormat="1" applyFont="1" applyBorder="1" applyAlignment="1">
      <alignment horizontal="center" vertical="center"/>
    </xf>
    <xf numFmtId="0" fontId="19" fillId="7" borderId="5" xfId="1" applyFont="1" applyFill="1" applyBorder="1"/>
    <xf numFmtId="167" fontId="19" fillId="7" borderId="5" xfId="5" applyFont="1" applyFill="1" applyBorder="1"/>
    <xf numFmtId="167" fontId="16" fillId="4" borderId="5" xfId="5" applyFont="1" applyFill="1" applyBorder="1"/>
    <xf numFmtId="10" fontId="16" fillId="4" borderId="5" xfId="3" applyNumberFormat="1" applyFont="1" applyFill="1" applyBorder="1"/>
    <xf numFmtId="167" fontId="17" fillId="3" borderId="5" xfId="5" applyFont="1" applyFill="1" applyBorder="1"/>
    <xf numFmtId="10" fontId="17" fillId="3" borderId="5" xfId="3" applyNumberFormat="1" applyFont="1" applyFill="1" applyBorder="1"/>
    <xf numFmtId="10" fontId="19" fillId="0" borderId="5" xfId="3" applyNumberFormat="1" applyFont="1" applyBorder="1" applyAlignment="1">
      <alignment horizontal="center" vertical="center"/>
    </xf>
    <xf numFmtId="169" fontId="19" fillId="0" borderId="5" xfId="6" applyNumberFormat="1" applyFont="1" applyBorder="1" applyAlignment="1">
      <alignment horizontal="center" vertical="center"/>
    </xf>
    <xf numFmtId="43" fontId="13" fillId="2" borderId="0" xfId="1" applyNumberFormat="1" applyFont="1" applyFill="1" applyBorder="1"/>
    <xf numFmtId="10" fontId="13" fillId="2" borderId="0" xfId="3" applyNumberFormat="1" applyFont="1" applyFill="1" applyBorder="1"/>
    <xf numFmtId="167" fontId="13" fillId="2" borderId="0" xfId="5" applyFont="1" applyFill="1" applyBorder="1"/>
    <xf numFmtId="0" fontId="13" fillId="2" borderId="0" xfId="1" applyFont="1" applyFill="1" applyBorder="1" applyAlignment="1">
      <alignment horizontal="right" vertical="center"/>
    </xf>
    <xf numFmtId="169" fontId="19" fillId="0" borderId="4" xfId="6" applyNumberFormat="1" applyFont="1" applyBorder="1" applyAlignment="1">
      <alignment horizontal="center" vertical="center"/>
    </xf>
    <xf numFmtId="169" fontId="19" fillId="0" borderId="9" xfId="6" applyNumberFormat="1" applyFont="1" applyBorder="1" applyAlignment="1">
      <alignment horizontal="center" vertical="center"/>
    </xf>
    <xf numFmtId="169" fontId="19" fillId="0" borderId="6" xfId="6" applyNumberFormat="1" applyFont="1" applyBorder="1" applyAlignment="1">
      <alignment horizontal="center" vertical="center"/>
    </xf>
    <xf numFmtId="0" fontId="14" fillId="0" borderId="0" xfId="1" applyFont="1" applyFill="1" applyBorder="1" applyAlignment="1">
      <alignment horizontal="center" vertical="center"/>
    </xf>
    <xf numFmtId="0" fontId="16" fillId="4" borderId="2" xfId="1" applyFont="1" applyFill="1" applyBorder="1" applyAlignment="1">
      <alignment horizontal="center"/>
    </xf>
    <xf numFmtId="0" fontId="16" fillId="4" borderId="3" xfId="1" applyFont="1" applyFill="1" applyBorder="1" applyAlignment="1">
      <alignment horizontal="center"/>
    </xf>
    <xf numFmtId="0" fontId="17" fillId="3" borderId="2" xfId="1" applyFont="1" applyFill="1" applyBorder="1" applyAlignment="1">
      <alignment horizontal="center"/>
    </xf>
    <xf numFmtId="0" fontId="17" fillId="3" borderId="3" xfId="1" applyFont="1" applyFill="1" applyBorder="1" applyAlignment="1">
      <alignment horizontal="center"/>
    </xf>
    <xf numFmtId="0" fontId="18" fillId="6" borderId="4" xfId="1" applyFont="1" applyFill="1" applyBorder="1" applyAlignment="1">
      <alignment horizontal="center" vertical="center"/>
    </xf>
    <xf numFmtId="0" fontId="18" fillId="6" borderId="6" xfId="1" applyFont="1" applyFill="1" applyBorder="1" applyAlignment="1">
      <alignment horizontal="center" vertical="center"/>
    </xf>
    <xf numFmtId="167" fontId="19" fillId="0" borderId="4" xfId="5" applyFont="1" applyBorder="1" applyAlignment="1">
      <alignment horizontal="center" vertical="center"/>
    </xf>
    <xf numFmtId="167" fontId="19" fillId="0" borderId="9" xfId="5" applyFont="1" applyBorder="1" applyAlignment="1">
      <alignment horizontal="center" vertical="center"/>
    </xf>
    <xf numFmtId="167" fontId="19" fillId="0" borderId="6" xfId="5" applyFont="1" applyBorder="1" applyAlignment="1">
      <alignment horizontal="center" vertical="center"/>
    </xf>
    <xf numFmtId="10" fontId="19" fillId="0" borderId="4" xfId="3" applyNumberFormat="1" applyFont="1" applyBorder="1" applyAlignment="1">
      <alignment horizontal="right" vertical="center"/>
    </xf>
    <xf numFmtId="10" fontId="19" fillId="0" borderId="9" xfId="3" applyNumberFormat="1" applyFont="1" applyBorder="1" applyAlignment="1">
      <alignment horizontal="right" vertical="center"/>
    </xf>
    <xf numFmtId="10" fontId="19" fillId="0" borderId="6" xfId="3" applyNumberFormat="1" applyFont="1" applyBorder="1" applyAlignment="1">
      <alignment horizontal="right" vertical="center"/>
    </xf>
    <xf numFmtId="10" fontId="19" fillId="0" borderId="4" xfId="3" applyNumberFormat="1" applyFont="1" applyBorder="1" applyAlignment="1">
      <alignment horizontal="center" vertical="center"/>
    </xf>
    <xf numFmtId="10" fontId="19" fillId="0" borderId="9" xfId="3" applyNumberFormat="1" applyFont="1" applyBorder="1" applyAlignment="1">
      <alignment horizontal="center" vertical="center"/>
    </xf>
    <xf numFmtId="10" fontId="19" fillId="0" borderId="6" xfId="3" applyNumberFormat="1" applyFont="1" applyBorder="1" applyAlignment="1">
      <alignment horizontal="center" vertical="center"/>
    </xf>
    <xf numFmtId="167" fontId="19" fillId="0" borderId="4" xfId="5" applyFont="1" applyBorder="1" applyAlignment="1">
      <alignment horizontal="right" vertical="center"/>
    </xf>
    <xf numFmtId="167" fontId="19" fillId="0" borderId="9" xfId="5" applyFont="1" applyBorder="1" applyAlignment="1">
      <alignment horizontal="right" vertical="center"/>
    </xf>
    <xf numFmtId="167" fontId="19" fillId="0" borderId="6" xfId="5" applyFont="1" applyBorder="1" applyAlignment="1">
      <alignment horizontal="right" vertical="center"/>
    </xf>
  </cellXfs>
  <cellStyles count="7">
    <cellStyle name="Millares 2" xfId="2"/>
    <cellStyle name="Millares 3" xfId="5"/>
    <cellStyle name="Moneda 2" xfId="6"/>
    <cellStyle name="Normal" xfId="0" builtinId="0"/>
    <cellStyle name="Normal 2" xfId="1"/>
    <cellStyle name="Porcentaje 2" xfId="3"/>
    <cellStyle name="Porcentaje 3" xfId="4"/>
  </cellStyles>
  <dxfs count="16">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B050"/>
      </font>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B050"/>
      </font>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B050"/>
      </font>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B05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hyperlink" Target="https://id.presidencia.gov.co/"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2992670</xdr:colOff>
      <xdr:row>5</xdr:row>
      <xdr:rowOff>166688</xdr:rowOff>
    </xdr:to>
    <xdr:pic>
      <xdr:nvPicPr>
        <xdr:cNvPr id="2" name="Imagen 1"/>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8048"/>
        <a:stretch/>
      </xdr:blipFill>
      <xdr:spPr>
        <a:xfrm>
          <a:off x="0" y="0"/>
          <a:ext cx="2992670" cy="130016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300116</xdr:colOff>
      <xdr:row>0</xdr:row>
      <xdr:rowOff>134933</xdr:rowOff>
    </xdr:from>
    <xdr:to>
      <xdr:col>2</xdr:col>
      <xdr:colOff>1291390</xdr:colOff>
      <xdr:row>4</xdr:row>
      <xdr:rowOff>153412</xdr:rowOff>
    </xdr:to>
    <xdr:pic>
      <xdr:nvPicPr>
        <xdr:cNvPr id="2" name="Imagen 1"/>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18415"/>
        <a:stretch/>
      </xdr:blipFill>
      <xdr:spPr>
        <a:xfrm>
          <a:off x="1062116" y="134933"/>
          <a:ext cx="2648624" cy="847154"/>
        </a:xfrm>
        <a:prstGeom prst="rect">
          <a:avLst/>
        </a:prstGeom>
      </xdr:spPr>
    </xdr:pic>
    <xdr:clientData/>
  </xdr:twoCellAnchor>
  <xdr:twoCellAnchor editAs="oneCell">
    <xdr:from>
      <xdr:col>1</xdr:col>
      <xdr:colOff>0</xdr:colOff>
      <xdr:row>4</xdr:row>
      <xdr:rowOff>0</xdr:rowOff>
    </xdr:from>
    <xdr:to>
      <xdr:col>1</xdr:col>
      <xdr:colOff>304800</xdr:colOff>
      <xdr:row>5</xdr:row>
      <xdr:rowOff>114300</xdr:rowOff>
    </xdr:to>
    <xdr:sp macro="" textlink="">
      <xdr:nvSpPr>
        <xdr:cNvPr id="3" name="AutoShape 16" descr="Presidencia de la República">
          <a:hlinkClick xmlns:r="http://schemas.openxmlformats.org/officeDocument/2006/relationships" r:id="rId2"/>
        </xdr:cNvPr>
        <xdr:cNvSpPr>
          <a:spLocks noChangeAspect="1" noChangeArrowheads="1"/>
        </xdr:cNvSpPr>
      </xdr:nvSpPr>
      <xdr:spPr bwMode="auto">
        <a:xfrm>
          <a:off x="762000" y="828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c.lbarrero/Documents/Lorena%20Barrero/2020/WEB%20SIC/INFORME%20EPA%20MARZO.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camontano/Documents/2016/PRESUPUESTO/INFORMES/EJECU%20AGREGADA%20PENDIEN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JECUCIÓN WEB"/>
      <sheetName val="EJECUCIÓN"/>
      <sheetName val="METAS"/>
      <sheetName val="TD-EPA RECURSO"/>
      <sheetName val="TD-EPA"/>
      <sheetName val="EPA - SIIF"/>
      <sheetName val="METAS EJEC. SIC - MINCIT"/>
    </sheetNames>
    <sheetDataSet>
      <sheetData sheetId="0"/>
      <sheetData sheetId="1"/>
      <sheetData sheetId="2">
        <row r="4">
          <cell r="D4" t="str">
            <v>MARZO - 2020</v>
          </cell>
        </row>
      </sheetData>
      <sheetData sheetId="3"/>
      <sheetData sheetId="4">
        <row r="3">
          <cell r="A3" t="str">
            <v>Etiquetas de fila</v>
          </cell>
        </row>
        <row r="5">
          <cell r="A5" t="str">
            <v>01</v>
          </cell>
          <cell r="B5">
            <v>61891218000</v>
          </cell>
          <cell r="C5">
            <v>61891218000</v>
          </cell>
          <cell r="D5">
            <v>59240085000</v>
          </cell>
          <cell r="E5">
            <v>12292842264</v>
          </cell>
          <cell r="F5">
            <v>12241266901</v>
          </cell>
          <cell r="G5">
            <v>12241266901</v>
          </cell>
          <cell r="H5">
            <v>2651133000</v>
          </cell>
        </row>
        <row r="6">
          <cell r="A6" t="str">
            <v>SALARIO</v>
          </cell>
          <cell r="B6">
            <v>33556177000</v>
          </cell>
          <cell r="C6">
            <v>33556177000</v>
          </cell>
          <cell r="D6">
            <v>33556177000</v>
          </cell>
          <cell r="E6">
            <v>8045082912</v>
          </cell>
          <cell r="F6">
            <v>8026411448</v>
          </cell>
          <cell r="G6">
            <v>8026411448</v>
          </cell>
          <cell r="H6">
            <v>0</v>
          </cell>
        </row>
        <row r="7">
          <cell r="A7" t="str">
            <v>CONTRIBUCIONES INHERENTES A LA NÓMINA</v>
          </cell>
          <cell r="B7">
            <v>13494483000</v>
          </cell>
          <cell r="C7">
            <v>13494483000</v>
          </cell>
          <cell r="D7">
            <v>13494483000</v>
          </cell>
          <cell r="E7">
            <v>3132493134</v>
          </cell>
          <cell r="F7">
            <v>3132493134</v>
          </cell>
          <cell r="G7">
            <v>3132493134</v>
          </cell>
          <cell r="H7">
            <v>0</v>
          </cell>
        </row>
        <row r="8">
          <cell r="A8" t="str">
            <v>REMUNERACIONES NO CONSTITUTIVAS DE FACTOR SALARIAL</v>
          </cell>
          <cell r="B8">
            <v>12189425000</v>
          </cell>
          <cell r="C8">
            <v>12189425000</v>
          </cell>
          <cell r="D8">
            <v>12189425000</v>
          </cell>
          <cell r="E8">
            <v>1115266218</v>
          </cell>
          <cell r="F8">
            <v>1082362319</v>
          </cell>
          <cell r="G8">
            <v>1082362319</v>
          </cell>
          <cell r="H8">
            <v>0</v>
          </cell>
        </row>
        <row r="9">
          <cell r="A9" t="str">
            <v>OTROS GASTOS DE PERSONAL - DISTRIBUCIÓN PREVIO CONCEPTO DGPPN</v>
          </cell>
          <cell r="B9">
            <v>2651133000</v>
          </cell>
          <cell r="C9">
            <v>2651133000</v>
          </cell>
          <cell r="D9">
            <v>0</v>
          </cell>
          <cell r="E9">
            <v>0</v>
          </cell>
          <cell r="F9">
            <v>0</v>
          </cell>
          <cell r="G9">
            <v>0</v>
          </cell>
          <cell r="H9">
            <v>2651133000</v>
          </cell>
        </row>
        <row r="10">
          <cell r="A10" t="str">
            <v>02</v>
          </cell>
          <cell r="B10">
            <v>13056620000</v>
          </cell>
          <cell r="C10">
            <v>13056620000</v>
          </cell>
          <cell r="D10">
            <v>8076527652</v>
          </cell>
          <cell r="E10">
            <v>7090788372.8000002</v>
          </cell>
          <cell r="F10">
            <v>2794566664.7600002</v>
          </cell>
          <cell r="G10">
            <v>2794566664.7600002</v>
          </cell>
          <cell r="H10">
            <v>0</v>
          </cell>
        </row>
        <row r="11">
          <cell r="A11" t="str">
            <v>ADQUISICIÓN DE ACTIVOS NO FINANCIEROS</v>
          </cell>
          <cell r="B11">
            <v>317824000</v>
          </cell>
          <cell r="C11">
            <v>317824000</v>
          </cell>
          <cell r="D11">
            <v>7061500</v>
          </cell>
          <cell r="E11">
            <v>7061500</v>
          </cell>
          <cell r="F11">
            <v>7000000</v>
          </cell>
          <cell r="G11">
            <v>7000000</v>
          </cell>
          <cell r="H11">
            <v>0</v>
          </cell>
        </row>
        <row r="12">
          <cell r="A12" t="str">
            <v>ADQUISICIONES DIFERENTES DE ACTIVOS</v>
          </cell>
          <cell r="B12">
            <v>12738796000</v>
          </cell>
          <cell r="C12">
            <v>12738796000</v>
          </cell>
          <cell r="D12">
            <v>8069466152</v>
          </cell>
          <cell r="E12">
            <v>7083726872.8000002</v>
          </cell>
          <cell r="F12">
            <v>2787566664.7600002</v>
          </cell>
          <cell r="G12">
            <v>2787566664.7600002</v>
          </cell>
          <cell r="H12">
            <v>0</v>
          </cell>
        </row>
        <row r="13">
          <cell r="A13" t="str">
            <v>03</v>
          </cell>
          <cell r="B13">
            <v>8629012908</v>
          </cell>
          <cell r="C13">
            <v>8629012908</v>
          </cell>
          <cell r="D13">
            <v>3216132653</v>
          </cell>
          <cell r="E13">
            <v>570141177.68000007</v>
          </cell>
          <cell r="F13">
            <v>477157960.68000001</v>
          </cell>
          <cell r="G13">
            <v>477157960.68000001</v>
          </cell>
          <cell r="H13">
            <v>2849371908</v>
          </cell>
        </row>
        <row r="14">
          <cell r="A14" t="str">
            <v>CONVENCION DEL METRO - OFICINA INTERNACIONAL DE PESAS Y MEDIDAS - BIPM. LEY 1512 DE 2012</v>
          </cell>
          <cell r="B14">
            <v>206629000</v>
          </cell>
          <cell r="C14">
            <v>206629000</v>
          </cell>
          <cell r="D14">
            <v>0</v>
          </cell>
          <cell r="E14">
            <v>0</v>
          </cell>
          <cell r="F14">
            <v>0</v>
          </cell>
          <cell r="G14">
            <v>0</v>
          </cell>
          <cell r="H14">
            <v>0</v>
          </cell>
        </row>
        <row r="15">
          <cell r="A15" t="str">
            <v>ORGANIZACION PARA LA COOPERACION Y EL DESARROLLO ECONOMICO OCDE-ARTICULO 47 LEY 1450 DE 2011</v>
          </cell>
          <cell r="B15">
            <v>82756000</v>
          </cell>
          <cell r="C15">
            <v>82756000</v>
          </cell>
          <cell r="D15">
            <v>0</v>
          </cell>
          <cell r="E15">
            <v>0</v>
          </cell>
          <cell r="F15">
            <v>0</v>
          </cell>
          <cell r="G15">
            <v>0</v>
          </cell>
          <cell r="H15">
            <v>0</v>
          </cell>
        </row>
        <row r="16">
          <cell r="A16" t="str">
            <v>PROVISIÓN PARA GASTOS INSTITUCIONALES Y/O SECTORIALES CONTINGENTES- PREVIO CONCEPTO DGPPN</v>
          </cell>
          <cell r="B16">
            <v>2849371908</v>
          </cell>
          <cell r="C16">
            <v>2849371908</v>
          </cell>
          <cell r="D16">
            <v>0</v>
          </cell>
          <cell r="E16">
            <v>0</v>
          </cell>
          <cell r="F16">
            <v>0</v>
          </cell>
          <cell r="G16">
            <v>0</v>
          </cell>
          <cell r="H16">
            <v>2849371908</v>
          </cell>
        </row>
        <row r="17">
          <cell r="A17" t="str">
            <v>MESADAS PENSIONALES (DE PENSIONES)</v>
          </cell>
          <cell r="B17">
            <v>431753000</v>
          </cell>
          <cell r="C17">
            <v>431753000</v>
          </cell>
          <cell r="D17">
            <v>431753000</v>
          </cell>
          <cell r="E17">
            <v>74468461.680000007</v>
          </cell>
          <cell r="F17">
            <v>74468461.680000007</v>
          </cell>
          <cell r="G17">
            <v>74468461.680000007</v>
          </cell>
          <cell r="H17">
            <v>0</v>
          </cell>
        </row>
        <row r="18">
          <cell r="A18" t="str">
            <v>APORTE PREVISION SOCIAL SERVICIOS MEDICOS (NO DE PENSIONES)</v>
          </cell>
          <cell r="B18">
            <v>680312000</v>
          </cell>
          <cell r="C18">
            <v>680312000</v>
          </cell>
          <cell r="D18">
            <v>680312000</v>
          </cell>
          <cell r="E18">
            <v>182161768</v>
          </cell>
          <cell r="F18">
            <v>122331929</v>
          </cell>
          <cell r="G18">
            <v>122331929</v>
          </cell>
          <cell r="H18">
            <v>0</v>
          </cell>
        </row>
        <row r="19">
          <cell r="A19" t="str">
            <v>SENTENCIAS</v>
          </cell>
          <cell r="B19">
            <v>2121800000</v>
          </cell>
          <cell r="C19">
            <v>2121800000</v>
          </cell>
          <cell r="D19">
            <v>564119102</v>
          </cell>
          <cell r="E19">
            <v>126786056</v>
          </cell>
          <cell r="F19">
            <v>120941399</v>
          </cell>
          <cell r="G19">
            <v>120941399</v>
          </cell>
          <cell r="H19">
            <v>0</v>
          </cell>
        </row>
        <row r="20">
          <cell r="A20" t="str">
            <v>CONCILIACIONES</v>
          </cell>
          <cell r="B20">
            <v>2121800000</v>
          </cell>
          <cell r="C20">
            <v>2121800000</v>
          </cell>
          <cell r="D20">
            <v>1405357551</v>
          </cell>
          <cell r="E20">
            <v>176152200</v>
          </cell>
          <cell r="F20">
            <v>148843479</v>
          </cell>
          <cell r="G20">
            <v>148843479</v>
          </cell>
          <cell r="H20">
            <v>0</v>
          </cell>
        </row>
        <row r="21">
          <cell r="A21" t="str">
            <v>INCAPACIDADES Y LICENCIAS DE MATERNIDAD Y PATERNIDAD (NO DE PENSIONES)</v>
          </cell>
          <cell r="B21">
            <v>134591000</v>
          </cell>
          <cell r="C21">
            <v>134591000</v>
          </cell>
          <cell r="D21">
            <v>134591000</v>
          </cell>
          <cell r="E21">
            <v>10572692</v>
          </cell>
          <cell r="F21">
            <v>10572692</v>
          </cell>
          <cell r="G21">
            <v>10572692</v>
          </cell>
          <cell r="H21">
            <v>0</v>
          </cell>
        </row>
        <row r="22">
          <cell r="A22" t="str">
            <v>08</v>
          </cell>
          <cell r="B22">
            <v>383982000</v>
          </cell>
          <cell r="C22">
            <v>383982000</v>
          </cell>
          <cell r="D22">
            <v>0</v>
          </cell>
          <cell r="E22">
            <v>0</v>
          </cell>
          <cell r="F22">
            <v>0</v>
          </cell>
          <cell r="G22">
            <v>0</v>
          </cell>
          <cell r="H22">
            <v>0</v>
          </cell>
        </row>
        <row r="23">
          <cell r="A23" t="str">
            <v>IMPUESTOS</v>
          </cell>
          <cell r="B23">
            <v>53045000</v>
          </cell>
          <cell r="C23">
            <v>53045000</v>
          </cell>
          <cell r="D23">
            <v>0</v>
          </cell>
          <cell r="E23">
            <v>0</v>
          </cell>
          <cell r="F23">
            <v>0</v>
          </cell>
          <cell r="G23">
            <v>0</v>
          </cell>
          <cell r="H23">
            <v>0</v>
          </cell>
        </row>
        <row r="24">
          <cell r="A24" t="str">
            <v>CUOTA DE FISCALIZACIÓN Y AUDITAJE</v>
          </cell>
          <cell r="B24">
            <v>330937000</v>
          </cell>
          <cell r="C24">
            <v>330937000</v>
          </cell>
          <cell r="D24">
            <v>0</v>
          </cell>
          <cell r="E24">
            <v>0</v>
          </cell>
          <cell r="F24">
            <v>0</v>
          </cell>
          <cell r="G24">
            <v>0</v>
          </cell>
          <cell r="H24">
            <v>0</v>
          </cell>
        </row>
        <row r="25">
          <cell r="A25" t="str">
            <v>C</v>
          </cell>
          <cell r="B25">
            <v>163731685495</v>
          </cell>
          <cell r="C25">
            <v>163731685495</v>
          </cell>
          <cell r="D25">
            <v>143975657013.48001</v>
          </cell>
          <cell r="E25">
            <v>123372011631.78</v>
          </cell>
          <cell r="F25">
            <v>11497240550.549999</v>
          </cell>
          <cell r="G25">
            <v>11496819406.549999</v>
          </cell>
          <cell r="H25">
            <v>0</v>
          </cell>
        </row>
        <row r="26">
          <cell r="A26" t="str">
            <v>3503</v>
          </cell>
          <cell r="B26">
            <v>91537465435</v>
          </cell>
          <cell r="C26">
            <v>91537465435</v>
          </cell>
          <cell r="D26">
            <v>81599281879</v>
          </cell>
          <cell r="E26">
            <v>68747903897</v>
          </cell>
          <cell r="F26">
            <v>7362450100</v>
          </cell>
          <cell r="G26">
            <v>7362028956</v>
          </cell>
          <cell r="H26">
            <v>0</v>
          </cell>
        </row>
        <row r="27">
          <cell r="A27" t="str">
            <v>INCREMENTO DE LA COBERTURA DE LOS SERVICIOS DE LA RED NACIONAL DE PROTECCIÓN AL CONSUMIDOR EN EL TERRITORIO  NACIONAL</v>
          </cell>
          <cell r="B27">
            <v>42000000000</v>
          </cell>
          <cell r="C27">
            <v>42000000000</v>
          </cell>
          <cell r="D27">
            <v>33557004093</v>
          </cell>
          <cell r="E27">
            <v>26205676144</v>
          </cell>
          <cell r="F27">
            <v>2596386446</v>
          </cell>
          <cell r="G27">
            <v>2596386446</v>
          </cell>
          <cell r="H27">
            <v>0</v>
          </cell>
        </row>
        <row r="28">
          <cell r="A28" t="str">
            <v>MEJORAMIENTO DEL CONTROL Y VIGILANCIA A LAS CÁMARAS DE COMERCIO Y COMERCIANTES A NIVEL  NACIONAL</v>
          </cell>
          <cell r="B28">
            <v>1051321372</v>
          </cell>
          <cell r="C28">
            <v>1051321372</v>
          </cell>
          <cell r="D28">
            <v>1051321372</v>
          </cell>
          <cell r="E28">
            <v>836399432</v>
          </cell>
          <cell r="F28">
            <v>115315509</v>
          </cell>
          <cell r="G28">
            <v>115315509</v>
          </cell>
          <cell r="H28">
            <v>0</v>
          </cell>
        </row>
        <row r="29">
          <cell r="A29" t="str">
            <v>FORTALECIMIENTO DE LA FUNCIÓN JURISDICCIONAL DE LA SUPERINTENDENCIA DE INDUSTRIA Y COMERCIO A NIVEL  NACIONAL</v>
          </cell>
          <cell r="B29">
            <v>2980842971</v>
          </cell>
          <cell r="C29">
            <v>2980842971</v>
          </cell>
          <cell r="D29">
            <v>2875604357</v>
          </cell>
          <cell r="E29">
            <v>2690608821</v>
          </cell>
          <cell r="F29">
            <v>475704689</v>
          </cell>
          <cell r="G29">
            <v>475283545</v>
          </cell>
          <cell r="H29">
            <v>0</v>
          </cell>
        </row>
        <row r="30">
          <cell r="A30" t="str">
            <v>FORTALECIMIENTO DE LA PROTECCIÓN DE DATOS PERSONALES A NIVEL  NACIONAL</v>
          </cell>
          <cell r="B30">
            <v>7099390975</v>
          </cell>
          <cell r="C30">
            <v>7099390975</v>
          </cell>
          <cell r="D30">
            <v>7099390975</v>
          </cell>
          <cell r="E30">
            <v>6597945353</v>
          </cell>
          <cell r="F30">
            <v>764787565</v>
          </cell>
          <cell r="G30">
            <v>764787565</v>
          </cell>
          <cell r="H30">
            <v>0</v>
          </cell>
        </row>
        <row r="31">
          <cell r="A31" t="str">
            <v>FORTALECIMIENTO DEL RÉGIMEN DE PROTECCIÓN DE LA LIBRE COMPETENCIA ECONÓMICA EN LOS MERCADOS A NIVEL  NACIONAL</v>
          </cell>
          <cell r="B31">
            <v>8956381813</v>
          </cell>
          <cell r="C31">
            <v>8956381813</v>
          </cell>
          <cell r="D31">
            <v>8932694390</v>
          </cell>
          <cell r="E31">
            <v>8179976622</v>
          </cell>
          <cell r="F31">
            <v>1015992905</v>
          </cell>
          <cell r="G31">
            <v>1015992905</v>
          </cell>
          <cell r="H31">
            <v>0</v>
          </cell>
        </row>
        <row r="32">
          <cell r="A32" t="str">
            <v>FORTALECIMIENTO DE LA ATENCIÓN Y PROMOCIÓN DE TRÁMITES Y SERVICIOS EN EL MARCO DEL SISTEMA DE PROPIEDAD INDUSTRIAL A NIVEL  NACIONAL</v>
          </cell>
          <cell r="B32">
            <v>11159819091</v>
          </cell>
          <cell r="C32">
            <v>11159819091</v>
          </cell>
          <cell r="D32">
            <v>10190151191</v>
          </cell>
          <cell r="E32">
            <v>9239082786</v>
          </cell>
          <cell r="F32">
            <v>875294523</v>
          </cell>
          <cell r="G32">
            <v>875294523</v>
          </cell>
          <cell r="H32">
            <v>0</v>
          </cell>
        </row>
        <row r="33">
          <cell r="A33" t="str">
            <v>MEJORAMIENTO EN LA EJECUCIÓN DE LAS FUNCIONES ASIGNADAS EN MATERIA DE PROTECCIÓN AL CONSUMIDOR A NIVEL  NACIONAL</v>
          </cell>
          <cell r="B33">
            <v>12011116086</v>
          </cell>
          <cell r="C33">
            <v>12011116086</v>
          </cell>
          <cell r="D33">
            <v>11772227878</v>
          </cell>
          <cell r="E33">
            <v>10135061321</v>
          </cell>
          <cell r="F33">
            <v>918797389</v>
          </cell>
          <cell r="G33">
            <v>918797389</v>
          </cell>
          <cell r="H33">
            <v>0</v>
          </cell>
        </row>
        <row r="34">
          <cell r="A34" t="str">
            <v>FORTALECIMIENTO DE LA FUNCIÓN DE INSPECCIÓN, CONTROL Y VIGILANCIA DE LA SUPERINTENDENCIA DE INDUSTRIA Y COMERCIO EN EL MARCO DEL SUBSISTEMA NACIONAL DE CALIDAD, EL RÉGIMEN DE CONTROL DE PRECIOS Y EL SECTOR VALUATORIO A NIVEL  NACIONAL</v>
          </cell>
          <cell r="B34">
            <v>6278593127</v>
          </cell>
          <cell r="C34">
            <v>6278593127</v>
          </cell>
          <cell r="D34">
            <v>6120887623</v>
          </cell>
          <cell r="E34">
            <v>4863153418</v>
          </cell>
          <cell r="F34">
            <v>600171074</v>
          </cell>
          <cell r="G34">
            <v>600171074</v>
          </cell>
          <cell r="H34">
            <v>0</v>
          </cell>
        </row>
        <row r="35">
          <cell r="A35" t="str">
            <v>3599</v>
          </cell>
          <cell r="B35">
            <v>72194220060</v>
          </cell>
          <cell r="C35">
            <v>72194220060</v>
          </cell>
          <cell r="D35">
            <v>62376375134.479996</v>
          </cell>
          <cell r="E35">
            <v>54624107734.779999</v>
          </cell>
          <cell r="F35">
            <v>4134790450.5500002</v>
          </cell>
          <cell r="G35">
            <v>4134790450.5500002</v>
          </cell>
          <cell r="H35">
            <v>0</v>
          </cell>
        </row>
        <row r="36">
          <cell r="A36" t="str">
            <v>FORTALECIMIENTO DEL SISTEMA DE ATENCIÓN AL CIUDADANO DE LA SUPERINTENDENCIA DE INDUSTRIA Y COMERCIO A NIVEL  NACIONAL</v>
          </cell>
          <cell r="B36">
            <v>32253058720</v>
          </cell>
          <cell r="C36">
            <v>32253058720</v>
          </cell>
          <cell r="D36">
            <v>29545859396.799999</v>
          </cell>
          <cell r="E36">
            <v>25878310630.099998</v>
          </cell>
          <cell r="F36">
            <v>3004216499.1500001</v>
          </cell>
          <cell r="G36">
            <v>3004216499.1500001</v>
          </cell>
          <cell r="H36">
            <v>0</v>
          </cell>
        </row>
        <row r="37">
          <cell r="A37" t="str">
            <v>MEJORAMIENTO DE LOS SISTEMAS DE INFORMACIÓN Y SERVICIOS TECNOLÓGICOS DE LA SUPERINTENDENCIA DE INDUSTRIA Y COMERCIO EN EL TERRITORIO  NACIONAL</v>
          </cell>
          <cell r="B37">
            <v>35326676910</v>
          </cell>
          <cell r="C37">
            <v>35326676910</v>
          </cell>
          <cell r="D37">
            <v>28947658034.68</v>
          </cell>
          <cell r="E37">
            <v>25087693759.68</v>
          </cell>
          <cell r="F37">
            <v>832017902.39999998</v>
          </cell>
          <cell r="G37">
            <v>832017902.39999998</v>
          </cell>
          <cell r="H37">
            <v>0</v>
          </cell>
        </row>
        <row r="38">
          <cell r="A38" t="str">
            <v>MEJORAMIENTO DE LA INFRAESTRUCTURA FÍSICA DE LA SEDE DE LA SUPERINTENDENCIA DE INDUSTRIA Y COMERCIO EN  BOGOTÁ</v>
          </cell>
          <cell r="B38">
            <v>172459431</v>
          </cell>
          <cell r="C38">
            <v>172459431</v>
          </cell>
          <cell r="D38">
            <v>80000000</v>
          </cell>
          <cell r="E38">
            <v>0</v>
          </cell>
          <cell r="F38">
            <v>0</v>
          </cell>
          <cell r="G38">
            <v>0</v>
          </cell>
          <cell r="H38">
            <v>0</v>
          </cell>
        </row>
        <row r="39">
          <cell r="A39" t="str">
            <v>MEJORAMIENTO EN LA CALIDAD DE LA GESTIÓN ESTRATÉGICA DE LA SUPERINTENDENCIA DE INDUSTRIA Y COMERCIO A NIVEL  NACIONAL</v>
          </cell>
          <cell r="B39">
            <v>4442024999</v>
          </cell>
          <cell r="C39">
            <v>4442024999</v>
          </cell>
          <cell r="D39">
            <v>3802857703</v>
          </cell>
          <cell r="E39">
            <v>3658103345</v>
          </cell>
          <cell r="F39">
            <v>298556049</v>
          </cell>
          <cell r="G39">
            <v>298556049</v>
          </cell>
          <cell r="H39">
            <v>0</v>
          </cell>
        </row>
        <row r="40">
          <cell r="A40" t="str">
            <v>Total general</v>
          </cell>
          <cell r="B40">
            <v>247692518403</v>
          </cell>
          <cell r="C40">
            <v>247692518403</v>
          </cell>
          <cell r="D40">
            <v>214508402318.47998</v>
          </cell>
          <cell r="E40">
            <v>143325783446.25998</v>
          </cell>
          <cell r="F40">
            <v>27010232076.990005</v>
          </cell>
          <cell r="G40">
            <v>27009810932.990005</v>
          </cell>
          <cell r="H40">
            <v>5500504908</v>
          </cell>
        </row>
      </sheetData>
      <sheetData sheetId="5"/>
      <sheetData sheetId="6">
        <row r="5">
          <cell r="D5">
            <v>0.26220444831416584</v>
          </cell>
          <cell r="P5">
            <v>0.17667479417330317</v>
          </cell>
        </row>
        <row r="8">
          <cell r="D8">
            <v>0.88640651431168482</v>
          </cell>
          <cell r="P8">
            <v>0.11473519708299636</v>
          </cell>
        </row>
        <row r="11">
          <cell r="D11">
            <v>0.67481948010511872</v>
          </cell>
          <cell r="P11">
            <v>0.13573098732816957</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PER-METAS"/>
      <sheetName val="Hoja1"/>
      <sheetName val="REP_EPG034_EjecucionPresupuesta"/>
      <sheetName val="BASE INFORME"/>
      <sheetName val="CONSOL CUENTA"/>
      <sheetName val="APROPIACIÓN"/>
      <sheetName val="EJECU"/>
      <sheetName val="METAS-SIC"/>
    </sheetNames>
    <sheetDataSet>
      <sheetData sheetId="0"/>
      <sheetData sheetId="1"/>
      <sheetData sheetId="2">
        <row r="32">
          <cell r="P32">
            <v>140494883000</v>
          </cell>
          <cell r="S32">
            <v>140494883000</v>
          </cell>
          <cell r="U32">
            <v>109011553434.08</v>
          </cell>
          <cell r="W32">
            <v>52683715194.550003</v>
          </cell>
          <cell r="X32">
            <v>4921250239.1999998</v>
          </cell>
          <cell r="Z32">
            <v>4272373041.46</v>
          </cell>
        </row>
      </sheetData>
      <sheetData sheetId="3"/>
      <sheetData sheetId="4"/>
      <sheetData sheetId="5"/>
      <sheetData sheetId="6"/>
      <sheetData sheetId="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sheetPr>
  <dimension ref="A1:O45"/>
  <sheetViews>
    <sheetView tabSelected="1" zoomScale="80" zoomScaleNormal="80" workbookViewId="0">
      <pane xSplit="1" ySplit="7" topLeftCell="B8" activePane="bottomRight" state="frozen"/>
      <selection pane="topRight" activeCell="B1" sqref="B1"/>
      <selection pane="bottomLeft" activeCell="A2" sqref="A2"/>
      <selection pane="bottomRight" activeCell="A20" sqref="A20"/>
    </sheetView>
  </sheetViews>
  <sheetFormatPr baseColWidth="10" defaultRowHeight="15" x14ac:dyDescent="0.25"/>
  <cols>
    <col min="1" max="1" width="45.140625" style="5" customWidth="1"/>
    <col min="2" max="2" width="19.28515625" style="33" customWidth="1"/>
    <col min="3" max="3" width="20" style="5" bestFit="1" customWidth="1"/>
    <col min="4" max="4" width="19.42578125" style="5" bestFit="1" customWidth="1"/>
    <col min="5" max="5" width="16.5703125" style="5" bestFit="1" customWidth="1"/>
    <col min="6" max="6" width="18.140625" style="35" bestFit="1" customWidth="1"/>
    <col min="7" max="7" width="14.85546875" style="5" bestFit="1" customWidth="1"/>
    <col min="8" max="8" width="19.42578125" style="35" bestFit="1" customWidth="1"/>
    <col min="9" max="9" width="18.140625" style="35" bestFit="1" customWidth="1"/>
    <col min="10" max="10" width="19" style="35" bestFit="1" customWidth="1"/>
    <col min="11" max="11" width="11.7109375" style="36" bestFit="1" customWidth="1"/>
    <col min="12" max="12" width="19.42578125" style="35" bestFit="1" customWidth="1"/>
    <col min="13" max="13" width="18.7109375" style="36" bestFit="1" customWidth="1"/>
    <col min="14" max="14" width="23.5703125" style="35" bestFit="1" customWidth="1"/>
    <col min="15" max="15" width="15.140625" style="36" bestFit="1" customWidth="1"/>
    <col min="16" max="16384" width="11.42578125" style="5"/>
  </cols>
  <sheetData>
    <row r="1" spans="1:15" ht="29.25" customHeight="1" x14ac:dyDescent="0.25">
      <c r="A1" s="1"/>
      <c r="B1" s="2" t="s">
        <v>0</v>
      </c>
      <c r="C1" s="1"/>
      <c r="D1" s="1"/>
      <c r="E1" s="1"/>
      <c r="F1" s="3"/>
      <c r="G1" s="1"/>
      <c r="H1" s="3"/>
      <c r="I1" s="3"/>
      <c r="J1" s="3"/>
      <c r="K1" s="4"/>
      <c r="L1" s="3"/>
      <c r="M1" s="4"/>
      <c r="N1" s="3"/>
      <c r="O1" s="4"/>
    </row>
    <row r="2" spans="1:15" x14ac:dyDescent="0.25">
      <c r="A2" s="1"/>
      <c r="B2" s="1"/>
      <c r="C2" s="1"/>
      <c r="D2" s="1"/>
      <c r="E2" s="1"/>
      <c r="F2" s="3"/>
      <c r="G2" s="1"/>
      <c r="H2" s="3"/>
      <c r="I2" s="3"/>
      <c r="J2" s="3"/>
      <c r="K2" s="4"/>
      <c r="L2" s="3"/>
      <c r="M2" s="4"/>
      <c r="N2" s="3"/>
      <c r="O2" s="4"/>
    </row>
    <row r="3" spans="1:15" x14ac:dyDescent="0.25">
      <c r="A3" s="1"/>
      <c r="B3" s="6" t="s">
        <v>1</v>
      </c>
      <c r="C3" s="1"/>
      <c r="D3" s="1"/>
      <c r="E3" s="1"/>
      <c r="F3" s="3"/>
      <c r="G3" s="1"/>
      <c r="H3" s="3"/>
      <c r="I3" s="3"/>
      <c r="J3" s="3"/>
      <c r="K3" s="4"/>
      <c r="L3" s="3"/>
      <c r="M3" s="4"/>
      <c r="N3" s="3"/>
      <c r="O3" s="4"/>
    </row>
    <row r="4" spans="1:15" x14ac:dyDescent="0.25">
      <c r="A4" s="1"/>
      <c r="B4" s="7" t="str">
        <f>+[1]METAS!D4</f>
        <v>MARZO - 2020</v>
      </c>
      <c r="C4" s="1"/>
      <c r="D4" s="1"/>
      <c r="E4" s="1"/>
      <c r="F4" s="3"/>
      <c r="G4" s="1"/>
      <c r="H4" s="3"/>
      <c r="I4" s="3"/>
      <c r="J4" s="3"/>
      <c r="K4" s="4"/>
      <c r="L4" s="3"/>
      <c r="M4" s="4"/>
      <c r="N4" s="3"/>
      <c r="O4" s="4"/>
    </row>
    <row r="5" spans="1:15" x14ac:dyDescent="0.25">
      <c r="A5" s="1"/>
      <c r="B5" s="6" t="s">
        <v>2</v>
      </c>
      <c r="C5" s="1"/>
      <c r="D5" s="1"/>
      <c r="E5" s="1"/>
      <c r="F5" s="3"/>
      <c r="G5" s="1"/>
      <c r="H5" s="3"/>
      <c r="I5" s="3"/>
      <c r="J5" s="3"/>
      <c r="K5" s="4"/>
      <c r="L5" s="3"/>
      <c r="M5" s="4"/>
      <c r="N5" s="3"/>
      <c r="O5" s="4"/>
    </row>
    <row r="6" spans="1:15" x14ac:dyDescent="0.25">
      <c r="A6" s="1"/>
      <c r="B6" s="8"/>
      <c r="C6" s="1"/>
      <c r="D6" s="1"/>
      <c r="E6" s="1"/>
      <c r="F6" s="3"/>
      <c r="G6" s="1"/>
      <c r="H6" s="3"/>
      <c r="I6" s="3"/>
      <c r="J6" s="3"/>
      <c r="K6" s="4"/>
      <c r="L6" s="3"/>
      <c r="M6" s="4"/>
      <c r="N6" s="3"/>
      <c r="O6" s="4"/>
    </row>
    <row r="7" spans="1:15" ht="30" x14ac:dyDescent="0.25">
      <c r="A7" s="9" t="s">
        <v>3</v>
      </c>
      <c r="B7" s="10" t="s">
        <v>4</v>
      </c>
      <c r="C7" s="10" t="s">
        <v>5</v>
      </c>
      <c r="D7" s="10" t="s">
        <v>6</v>
      </c>
      <c r="E7" s="11" t="s">
        <v>7</v>
      </c>
      <c r="F7" s="10" t="s">
        <v>8</v>
      </c>
      <c r="G7" s="12" t="s">
        <v>9</v>
      </c>
      <c r="H7" s="10" t="s">
        <v>10</v>
      </c>
      <c r="I7" s="10" t="s">
        <v>11</v>
      </c>
      <c r="J7" s="13" t="s">
        <v>12</v>
      </c>
      <c r="K7" s="14" t="s">
        <v>13</v>
      </c>
      <c r="L7" s="13" t="s">
        <v>14</v>
      </c>
      <c r="M7" s="14" t="s">
        <v>15</v>
      </c>
      <c r="N7" s="13" t="s">
        <v>16</v>
      </c>
      <c r="O7" s="14" t="s">
        <v>17</v>
      </c>
    </row>
    <row r="8" spans="1:15" s="18" customFormat="1" ht="15.75" x14ac:dyDescent="0.25">
      <c r="A8" s="15" t="s">
        <v>18</v>
      </c>
      <c r="B8" s="16">
        <f>B9+B14+B17</f>
        <v>83960832908</v>
      </c>
      <c r="C8" s="16">
        <f>C9+C14+C17</f>
        <v>83960832908</v>
      </c>
      <c r="D8" s="16">
        <f>D9+D14+D17</f>
        <v>19953771814.48</v>
      </c>
      <c r="E8" s="17">
        <f t="shared" ref="E8:E9" si="0">+D8/C8</f>
        <v>0.23765571544942063</v>
      </c>
      <c r="F8" s="16">
        <f>F9+F14+F17</f>
        <v>15512991526.440001</v>
      </c>
      <c r="G8" s="17">
        <f t="shared" ref="G8:G9" si="1">+F8/C8</f>
        <v>0.18476462165922466</v>
      </c>
      <c r="H8" s="16">
        <f>H9+H14+H17</f>
        <v>70532745305</v>
      </c>
      <c r="I8" s="16">
        <f>I9+I14+I17</f>
        <v>15512991526.440001</v>
      </c>
      <c r="J8" s="16">
        <f>J9+J14+J17</f>
        <v>13428087603</v>
      </c>
      <c r="K8" s="17">
        <f t="shared" ref="K8:K9" si="2">+J8/C8</f>
        <v>0.15993275838168272</v>
      </c>
      <c r="L8" s="16">
        <f>L9+L14+L17</f>
        <v>64007061093.519997</v>
      </c>
      <c r="M8" s="17">
        <f t="shared" ref="M8:M9" si="3">+L8/C8</f>
        <v>0.76234428455057934</v>
      </c>
      <c r="N8" s="16">
        <f>N9+N14+N17</f>
        <v>68447841381.559998</v>
      </c>
      <c r="O8" s="17">
        <f t="shared" ref="O8:O9" si="4">+N8/C8</f>
        <v>0.81523537834077531</v>
      </c>
    </row>
    <row r="9" spans="1:15" s="18" customFormat="1" ht="15.75" x14ac:dyDescent="0.25">
      <c r="A9" s="19" t="s">
        <v>19</v>
      </c>
      <c r="B9" s="20">
        <f>SUM(B10:B13)</f>
        <v>61891218000</v>
      </c>
      <c r="C9" s="20">
        <f>SUM(C10:C13)</f>
        <v>61891218000</v>
      </c>
      <c r="D9" s="20">
        <f>SUM(D10:D13)</f>
        <v>12292842264</v>
      </c>
      <c r="E9" s="21">
        <f t="shared" si="0"/>
        <v>0.19862013806223688</v>
      </c>
      <c r="F9" s="20">
        <f>SUM(F10:F13)</f>
        <v>12241266901</v>
      </c>
      <c r="G9" s="21">
        <f t="shared" si="1"/>
        <v>0.19778681526351607</v>
      </c>
      <c r="H9" s="20">
        <f>SUM(H10:H13)</f>
        <v>59240085000</v>
      </c>
      <c r="I9" s="20">
        <f>SUM(I10:I13)</f>
        <v>12241266901</v>
      </c>
      <c r="J9" s="20">
        <f>SUM(J10:J13)</f>
        <v>2651133000</v>
      </c>
      <c r="K9" s="21">
        <f t="shared" si="2"/>
        <v>4.2835366400447959E-2</v>
      </c>
      <c r="L9" s="20">
        <f>SUM(L10:L13)</f>
        <v>49598375736</v>
      </c>
      <c r="M9" s="21">
        <f t="shared" si="3"/>
        <v>0.80137986193776312</v>
      </c>
      <c r="N9" s="20">
        <f>SUM(N10:N13)</f>
        <v>49649951099</v>
      </c>
      <c r="O9" s="21">
        <f t="shared" si="4"/>
        <v>0.80221318473648395</v>
      </c>
    </row>
    <row r="10" spans="1:15" x14ac:dyDescent="0.25">
      <c r="A10" s="22" t="str">
        <f>+'[1]TD-EPA'!A6</f>
        <v>SALARIO</v>
      </c>
      <c r="B10" s="23">
        <f>VLOOKUP(A10,'[1]TD-EPA'!$A$5:$H$36,2,0)</f>
        <v>33556177000</v>
      </c>
      <c r="C10" s="24">
        <f>VLOOKUP(A10,'[1]TD-EPA'!$A$5:$H$36,3,0)</f>
        <v>33556177000</v>
      </c>
      <c r="D10" s="24">
        <f>VLOOKUP(A10,'[1]TD-EPA'!$A$5:$H$36,5,0)</f>
        <v>8045082912</v>
      </c>
      <c r="E10" s="25">
        <f>+D10/C10</f>
        <v>0.23974968638411939</v>
      </c>
      <c r="F10" s="23">
        <f>VLOOKUP(A10,'[1]TD-EPA'!$A$5:$H$36,6,0)</f>
        <v>8026411448</v>
      </c>
      <c r="G10" s="25">
        <f>+F10/C10</f>
        <v>0.23919326233140326</v>
      </c>
      <c r="H10" s="23">
        <f>VLOOKUP(A10,'[1]TD-EPA'!$A$5:$H$36,4,0)</f>
        <v>33556177000</v>
      </c>
      <c r="I10" s="23">
        <f>VLOOKUP(A10,'[1]TD-EPA'!$A$5:$H$36,7,0)</f>
        <v>8026411448</v>
      </c>
      <c r="J10" s="23">
        <f>+C10-H10</f>
        <v>0</v>
      </c>
      <c r="K10" s="25">
        <f>+J10/C10</f>
        <v>0</v>
      </c>
      <c r="L10" s="23">
        <f>+C10-D10</f>
        <v>25511094088</v>
      </c>
      <c r="M10" s="25">
        <f>+L10/C10</f>
        <v>0.76025031361588058</v>
      </c>
      <c r="N10" s="23">
        <f>+C10-F10</f>
        <v>25529765552</v>
      </c>
      <c r="O10" s="25">
        <f>+N10/C10</f>
        <v>0.76080673766859674</v>
      </c>
    </row>
    <row r="11" spans="1:15" ht="28.5" x14ac:dyDescent="0.25">
      <c r="A11" s="22" t="str">
        <f>+'[1]TD-EPA'!A7</f>
        <v>CONTRIBUCIONES INHERENTES A LA NÓMINA</v>
      </c>
      <c r="B11" s="23">
        <f>VLOOKUP(A11,'[1]TD-EPA'!$A$5:$H$36,2,0)</f>
        <v>13494483000</v>
      </c>
      <c r="C11" s="24">
        <f>VLOOKUP(A11,'[1]TD-EPA'!$A$5:$H$36,3,0)</f>
        <v>13494483000</v>
      </c>
      <c r="D11" s="24">
        <f>VLOOKUP(A11,'[1]TD-EPA'!$A$5:$H$36,5,0)</f>
        <v>3132493134</v>
      </c>
      <c r="E11" s="25">
        <f t="shared" ref="E11:E41" si="5">D11/C11</f>
        <v>0.23213139280697156</v>
      </c>
      <c r="F11" s="23">
        <f>VLOOKUP(A11,'[1]TD-EPA'!$A$5:$H$36,6,0)</f>
        <v>3132493134</v>
      </c>
      <c r="G11" s="25">
        <f t="shared" ref="G11:G41" si="6">+F11/C11</f>
        <v>0.23213139280697156</v>
      </c>
      <c r="H11" s="23">
        <f>VLOOKUP(A11,'[1]TD-EPA'!$A$5:$H$36,4,0)</f>
        <v>13494483000</v>
      </c>
      <c r="I11" s="23">
        <f>VLOOKUP(A11,'[1]TD-EPA'!$A$5:$H$36,7,0)</f>
        <v>3132493134</v>
      </c>
      <c r="J11" s="23">
        <f t="shared" ref="J11:J40" si="7">+C11-H11</f>
        <v>0</v>
      </c>
      <c r="K11" s="25">
        <f t="shared" ref="K11:K41" si="8">+J11/C11</f>
        <v>0</v>
      </c>
      <c r="L11" s="23">
        <f t="shared" ref="L11:L40" si="9">+C11-D11</f>
        <v>10361989866</v>
      </c>
      <c r="M11" s="25">
        <f>+L11/C11</f>
        <v>0.76786860719302841</v>
      </c>
      <c r="N11" s="23">
        <f t="shared" ref="N11:N40" si="10">+C11-F11</f>
        <v>10361989866</v>
      </c>
      <c r="O11" s="25">
        <f t="shared" ref="O11:O41" si="11">+N11/C11</f>
        <v>0.76786860719302841</v>
      </c>
    </row>
    <row r="12" spans="1:15" ht="28.5" x14ac:dyDescent="0.25">
      <c r="A12" s="22" t="str">
        <f>+'[1]TD-EPA'!A8</f>
        <v>REMUNERACIONES NO CONSTITUTIVAS DE FACTOR SALARIAL</v>
      </c>
      <c r="B12" s="23">
        <f>VLOOKUP(A12,'[1]TD-EPA'!$A$5:$H$36,2,0)</f>
        <v>12189425000</v>
      </c>
      <c r="C12" s="24">
        <f>VLOOKUP(A12,'[1]TD-EPA'!$A$5:$H$36,3,0)</f>
        <v>12189425000</v>
      </c>
      <c r="D12" s="24">
        <f>VLOOKUP(A12,'[1]TD-EPA'!$A$5:$H$36,5,0)</f>
        <v>1115266218</v>
      </c>
      <c r="E12" s="25">
        <f t="shared" si="5"/>
        <v>9.1494571565106639E-2</v>
      </c>
      <c r="F12" s="23">
        <f>VLOOKUP(A12,'[1]TD-EPA'!$A$5:$H$36,6,0)</f>
        <v>1082362319</v>
      </c>
      <c r="G12" s="25">
        <f t="shared" si="6"/>
        <v>8.8795190831396892E-2</v>
      </c>
      <c r="H12" s="23">
        <f>VLOOKUP(A12,'[1]TD-EPA'!$A$5:$H$36,4,0)</f>
        <v>12189425000</v>
      </c>
      <c r="I12" s="23">
        <f>VLOOKUP(A12,'[1]TD-EPA'!$A$5:$H$36,7,0)</f>
        <v>1082362319</v>
      </c>
      <c r="J12" s="23">
        <f t="shared" si="7"/>
        <v>0</v>
      </c>
      <c r="K12" s="25">
        <f t="shared" si="8"/>
        <v>0</v>
      </c>
      <c r="L12" s="23">
        <f t="shared" si="9"/>
        <v>11074158782</v>
      </c>
      <c r="M12" s="25">
        <f t="shared" ref="M12:M41" si="12">+L12/C12</f>
        <v>0.90850542843489335</v>
      </c>
      <c r="N12" s="23">
        <f t="shared" si="10"/>
        <v>11107062681</v>
      </c>
      <c r="O12" s="25">
        <f t="shared" si="11"/>
        <v>0.91120480916860314</v>
      </c>
    </row>
    <row r="13" spans="1:15" ht="42.75" x14ac:dyDescent="0.25">
      <c r="A13" s="22" t="str">
        <f>+'[1]TD-EPA'!A9</f>
        <v>OTROS GASTOS DE PERSONAL - DISTRIBUCIÓN PREVIO CONCEPTO DGPPN</v>
      </c>
      <c r="B13" s="23">
        <f>VLOOKUP(A13,'[1]TD-EPA'!$A$5:$H$36,2,0)</f>
        <v>2651133000</v>
      </c>
      <c r="C13" s="24">
        <f>VLOOKUP(A13,'[1]TD-EPA'!$A$5:$H$36,3,0)</f>
        <v>2651133000</v>
      </c>
      <c r="D13" s="24">
        <f>VLOOKUP(A13,'[1]TD-EPA'!$A$5:$H$36,5,0)</f>
        <v>0</v>
      </c>
      <c r="E13" s="25">
        <f t="shared" si="5"/>
        <v>0</v>
      </c>
      <c r="F13" s="23">
        <f>VLOOKUP(A13,'[1]TD-EPA'!$A$5:$H$36,6,0)</f>
        <v>0</v>
      </c>
      <c r="G13" s="25">
        <f t="shared" si="6"/>
        <v>0</v>
      </c>
      <c r="H13" s="23">
        <f>VLOOKUP(A13,'[1]TD-EPA'!$A$5:$H$36,4,0)</f>
        <v>0</v>
      </c>
      <c r="I13" s="23">
        <f>VLOOKUP(A13,'[1]TD-EPA'!$A$5:$H$36,7,0)</f>
        <v>0</v>
      </c>
      <c r="J13" s="23">
        <f t="shared" si="7"/>
        <v>2651133000</v>
      </c>
      <c r="K13" s="25">
        <f t="shared" si="8"/>
        <v>1</v>
      </c>
      <c r="L13" s="23">
        <f t="shared" si="9"/>
        <v>2651133000</v>
      </c>
      <c r="M13" s="25">
        <f t="shared" si="12"/>
        <v>1</v>
      </c>
      <c r="N13" s="23">
        <f t="shared" si="10"/>
        <v>2651133000</v>
      </c>
      <c r="O13" s="25">
        <f t="shared" si="11"/>
        <v>1</v>
      </c>
    </row>
    <row r="14" spans="1:15" s="18" customFormat="1" ht="15" customHeight="1" x14ac:dyDescent="0.25">
      <c r="A14" s="19" t="s">
        <v>20</v>
      </c>
      <c r="B14" s="20">
        <f>SUM(B15:B16)</f>
        <v>13056620000</v>
      </c>
      <c r="C14" s="20">
        <f>SUM(C15:C16)</f>
        <v>13056620000</v>
      </c>
      <c r="D14" s="20">
        <f>SUM(D15:D16)</f>
        <v>7090788372.8000002</v>
      </c>
      <c r="E14" s="21">
        <f t="shared" si="5"/>
        <v>0.54307993744169625</v>
      </c>
      <c r="F14" s="20">
        <f t="shared" ref="F14" si="13">SUM(F15:F16)</f>
        <v>2794566664.7600002</v>
      </c>
      <c r="G14" s="21">
        <f t="shared" si="6"/>
        <v>0.21403446410786253</v>
      </c>
      <c r="H14" s="20">
        <f t="shared" ref="H14:N14" si="14">SUM(H15:H16)</f>
        <v>8076527652</v>
      </c>
      <c r="I14" s="20">
        <f t="shared" si="14"/>
        <v>2794566664.7600002</v>
      </c>
      <c r="J14" s="20">
        <f t="shared" si="14"/>
        <v>4980092348</v>
      </c>
      <c r="K14" s="21">
        <f t="shared" si="8"/>
        <v>0.38142278384451717</v>
      </c>
      <c r="L14" s="20">
        <f t="shared" si="14"/>
        <v>5965831627.1999998</v>
      </c>
      <c r="M14" s="21">
        <f t="shared" si="12"/>
        <v>0.45692006255830375</v>
      </c>
      <c r="N14" s="20">
        <f t="shared" si="14"/>
        <v>10262053335.24</v>
      </c>
      <c r="O14" s="21">
        <f t="shared" si="11"/>
        <v>0.78596553589213747</v>
      </c>
    </row>
    <row r="15" spans="1:15" ht="28.5" x14ac:dyDescent="0.25">
      <c r="A15" s="22" t="str">
        <f>+'[1]TD-EPA'!A11</f>
        <v>ADQUISICIÓN DE ACTIVOS NO FINANCIEROS</v>
      </c>
      <c r="B15" s="23">
        <f>VLOOKUP(A15,'[1]TD-EPA'!$A$5:$H$36,2,0)</f>
        <v>317824000</v>
      </c>
      <c r="C15" s="24">
        <f>VLOOKUP(A15,'[1]TD-EPA'!$A$5:$H$36,3,0)</f>
        <v>317824000</v>
      </c>
      <c r="D15" s="24">
        <f>VLOOKUP(A15,'[1]TD-EPA'!$A$5:$H$36,5,0)</f>
        <v>7061500</v>
      </c>
      <c r="E15" s="25">
        <f t="shared" si="5"/>
        <v>2.2218271747885623E-2</v>
      </c>
      <c r="F15" s="23">
        <f>VLOOKUP(A15,'[1]TD-EPA'!$A$5:$H$36,6,0)</f>
        <v>7000000</v>
      </c>
      <c r="G15" s="25">
        <f t="shared" si="6"/>
        <v>2.2024768425291986E-2</v>
      </c>
      <c r="H15" s="23">
        <f>VLOOKUP(A15,'[1]TD-EPA'!$A$5:$H$36,4,0)</f>
        <v>7061500</v>
      </c>
      <c r="I15" s="23">
        <f>VLOOKUP(A15,'[1]TD-EPA'!$A$5:$H$36,7,0)</f>
        <v>7000000</v>
      </c>
      <c r="J15" s="23">
        <f t="shared" si="7"/>
        <v>310762500</v>
      </c>
      <c r="K15" s="25">
        <f t="shared" si="8"/>
        <v>0.9777817282521144</v>
      </c>
      <c r="L15" s="23">
        <f t="shared" si="9"/>
        <v>310762500</v>
      </c>
      <c r="M15" s="25">
        <f t="shared" si="12"/>
        <v>0.9777817282521144</v>
      </c>
      <c r="N15" s="23">
        <f t="shared" si="10"/>
        <v>310824000</v>
      </c>
      <c r="O15" s="25">
        <f t="shared" si="11"/>
        <v>0.977975231574708</v>
      </c>
    </row>
    <row r="16" spans="1:15" x14ac:dyDescent="0.25">
      <c r="A16" s="22" t="str">
        <f>+'[1]TD-EPA'!A12</f>
        <v>ADQUISICIONES DIFERENTES DE ACTIVOS</v>
      </c>
      <c r="B16" s="23">
        <f>VLOOKUP(A16,'[1]TD-EPA'!$A$5:$H$36,2,0)</f>
        <v>12738796000</v>
      </c>
      <c r="C16" s="24">
        <f>VLOOKUP(A16,'[1]TD-EPA'!$A$5:$H$36,3,0)</f>
        <v>12738796000</v>
      </c>
      <c r="D16" s="24">
        <f>VLOOKUP(A16,'[1]TD-EPA'!$A$5:$H$36,5,0)</f>
        <v>7083726872.8000002</v>
      </c>
      <c r="E16" s="25">
        <f t="shared" si="5"/>
        <v>0.5560750696376644</v>
      </c>
      <c r="F16" s="23">
        <f>VLOOKUP(A16,'[1]TD-EPA'!$A$5:$H$36,6,0)</f>
        <v>2787566664.7600002</v>
      </c>
      <c r="G16" s="25">
        <f t="shared" si="6"/>
        <v>0.21882497095957892</v>
      </c>
      <c r="H16" s="23">
        <f>VLOOKUP(A16,'[1]TD-EPA'!$A$5:$H$36,4,0)</f>
        <v>8069466152</v>
      </c>
      <c r="I16" s="23">
        <f>VLOOKUP(A16,'[1]TD-EPA'!$A$5:$H$36,7,0)</f>
        <v>2787566664.7600002</v>
      </c>
      <c r="J16" s="23">
        <f t="shared" si="7"/>
        <v>4669329848</v>
      </c>
      <c r="K16" s="25">
        <f t="shared" si="8"/>
        <v>0.36654404764783111</v>
      </c>
      <c r="L16" s="23">
        <f t="shared" si="9"/>
        <v>5655069127.1999998</v>
      </c>
      <c r="M16" s="25">
        <f t="shared" si="12"/>
        <v>0.44392493036233566</v>
      </c>
      <c r="N16" s="23">
        <f t="shared" si="10"/>
        <v>9951229335.2399998</v>
      </c>
      <c r="O16" s="25">
        <f t="shared" si="11"/>
        <v>0.78117502904042102</v>
      </c>
    </row>
    <row r="17" spans="1:15" s="18" customFormat="1" ht="15.75" x14ac:dyDescent="0.25">
      <c r="A17" s="19" t="s">
        <v>21</v>
      </c>
      <c r="B17" s="20">
        <f>SUM(B18:B27)</f>
        <v>9012994908</v>
      </c>
      <c r="C17" s="20">
        <f>SUM(C18:C27)</f>
        <v>9012994908</v>
      </c>
      <c r="D17" s="20">
        <f>SUM(D18:D27)</f>
        <v>570141177.68000007</v>
      </c>
      <c r="E17" s="21">
        <f>D17/C17</f>
        <v>6.3257683322769723E-2</v>
      </c>
      <c r="F17" s="20">
        <f>SUM(F18:F27)</f>
        <v>477157960.68000001</v>
      </c>
      <c r="G17" s="21">
        <f>+F17/C17</f>
        <v>5.2941110646414671E-2</v>
      </c>
      <c r="H17" s="20">
        <f>SUM(H18:H27)</f>
        <v>3216132653</v>
      </c>
      <c r="I17" s="20">
        <f>SUM(I18:I27)</f>
        <v>477157960.68000001</v>
      </c>
      <c r="J17" s="20">
        <f>SUM(J18:J27)</f>
        <v>5796862255</v>
      </c>
      <c r="K17" s="21">
        <f t="shared" si="8"/>
        <v>0.6431671507829948</v>
      </c>
      <c r="L17" s="20">
        <f>SUM(L18:L27)</f>
        <v>8442853730.3199997</v>
      </c>
      <c r="M17" s="21">
        <f t="shared" si="12"/>
        <v>0.93674231667723029</v>
      </c>
      <c r="N17" s="20">
        <f>SUM(N18:N27)</f>
        <v>8535836947.3199997</v>
      </c>
      <c r="O17" s="21">
        <f>+N17/C17</f>
        <v>0.94705888935358529</v>
      </c>
    </row>
    <row r="18" spans="1:15" ht="42.75" x14ac:dyDescent="0.25">
      <c r="A18" s="22" t="str">
        <f>+'[1]TD-EPA'!A14</f>
        <v>CONVENCION DEL METRO - OFICINA INTERNACIONAL DE PESAS Y MEDIDAS - BIPM. LEY 1512 DE 2012</v>
      </c>
      <c r="B18" s="23">
        <f>VLOOKUP(A18,'[1]TD-EPA'!$A$5:$H$36,2,0)</f>
        <v>206629000</v>
      </c>
      <c r="C18" s="24">
        <f>VLOOKUP(A18,'[1]TD-EPA'!$A$5:$H$36,3,0)</f>
        <v>206629000</v>
      </c>
      <c r="D18" s="24">
        <f>VLOOKUP(A18,'[1]TD-EPA'!$A$5:$H$36,5,0)</f>
        <v>0</v>
      </c>
      <c r="E18" s="25">
        <f t="shared" si="5"/>
        <v>0</v>
      </c>
      <c r="F18" s="23">
        <f>VLOOKUP(A18,'[1]TD-EPA'!$A$5:$H$36,6,0)</f>
        <v>0</v>
      </c>
      <c r="G18" s="25">
        <f t="shared" si="6"/>
        <v>0</v>
      </c>
      <c r="H18" s="23">
        <f>VLOOKUP(A18,'[1]TD-EPA'!$A$5:$H$36,4,0)</f>
        <v>0</v>
      </c>
      <c r="I18" s="23">
        <f>VLOOKUP(A18,'[1]TD-EPA'!$A$5:$H$36,7,0)</f>
        <v>0</v>
      </c>
      <c r="J18" s="23">
        <f t="shared" si="7"/>
        <v>206629000</v>
      </c>
      <c r="K18" s="25">
        <f t="shared" si="8"/>
        <v>1</v>
      </c>
      <c r="L18" s="23">
        <f t="shared" si="9"/>
        <v>206629000</v>
      </c>
      <c r="M18" s="25">
        <f t="shared" si="12"/>
        <v>1</v>
      </c>
      <c r="N18" s="23">
        <f t="shared" si="10"/>
        <v>206629000</v>
      </c>
      <c r="O18" s="25">
        <f t="shared" si="11"/>
        <v>1</v>
      </c>
    </row>
    <row r="19" spans="1:15" ht="42.75" x14ac:dyDescent="0.25">
      <c r="A19" s="22" t="str">
        <f>+'[1]TD-EPA'!A15</f>
        <v>ORGANIZACION PARA LA COOPERACION Y EL DESARROLLO ECONOMICO OCDE-ARTICULO 47 LEY 1450 DE 2011</v>
      </c>
      <c r="B19" s="23">
        <f>VLOOKUP(A19,'[1]TD-EPA'!$A$5:$H$36,2,0)</f>
        <v>82756000</v>
      </c>
      <c r="C19" s="24">
        <f>VLOOKUP(A19,'[1]TD-EPA'!$A$5:$H$36,3,0)</f>
        <v>82756000</v>
      </c>
      <c r="D19" s="24">
        <f>VLOOKUP(A19,'[1]TD-EPA'!$A$5:$H$36,5,0)</f>
        <v>0</v>
      </c>
      <c r="E19" s="25">
        <f t="shared" si="5"/>
        <v>0</v>
      </c>
      <c r="F19" s="23">
        <f>VLOOKUP(A19,'[1]TD-EPA'!$A$5:$H$36,6,0)</f>
        <v>0</v>
      </c>
      <c r="G19" s="25">
        <f t="shared" si="6"/>
        <v>0</v>
      </c>
      <c r="H19" s="23">
        <f>VLOOKUP(A19,'[1]TD-EPA'!$A$5:$H$36,4,0)</f>
        <v>0</v>
      </c>
      <c r="I19" s="23">
        <f>VLOOKUP(A19,'[1]TD-EPA'!$A$5:$H$36,7,0)</f>
        <v>0</v>
      </c>
      <c r="J19" s="23">
        <f t="shared" si="7"/>
        <v>82756000</v>
      </c>
      <c r="K19" s="25">
        <f t="shared" si="8"/>
        <v>1</v>
      </c>
      <c r="L19" s="23">
        <f t="shared" si="9"/>
        <v>82756000</v>
      </c>
      <c r="M19" s="25">
        <f t="shared" si="12"/>
        <v>1</v>
      </c>
      <c r="N19" s="23">
        <f t="shared" si="10"/>
        <v>82756000</v>
      </c>
      <c r="O19" s="25">
        <f t="shared" si="11"/>
        <v>1</v>
      </c>
    </row>
    <row r="20" spans="1:15" ht="57" x14ac:dyDescent="0.25">
      <c r="A20" s="22" t="str">
        <f>+'[1]TD-EPA'!A16</f>
        <v>PROVISIÓN PARA GASTOS INSTITUCIONALES Y/O SECTORIALES CONTINGENTES- PREVIO CONCEPTO DGPPN</v>
      </c>
      <c r="B20" s="23">
        <f>VLOOKUP(A20,'[1]TD-EPA'!$A$5:$H$36,2,0)</f>
        <v>2849371908</v>
      </c>
      <c r="C20" s="24">
        <f>VLOOKUP(A20,'[1]TD-EPA'!$A$5:$H$36,3,0)</f>
        <v>2849371908</v>
      </c>
      <c r="D20" s="24">
        <f>VLOOKUP(A20,'[1]TD-EPA'!$A$5:$H$36,5,0)</f>
        <v>0</v>
      </c>
      <c r="E20" s="25">
        <f t="shared" si="5"/>
        <v>0</v>
      </c>
      <c r="F20" s="23">
        <f>VLOOKUP(A20,'[1]TD-EPA'!$A$5:$H$36,6,0)</f>
        <v>0</v>
      </c>
      <c r="G20" s="25">
        <f t="shared" si="6"/>
        <v>0</v>
      </c>
      <c r="H20" s="23">
        <f>VLOOKUP(A20,'[1]TD-EPA'!$A$5:$H$36,4,0)</f>
        <v>0</v>
      </c>
      <c r="I20" s="23">
        <f>VLOOKUP(A20,'[1]TD-EPA'!$A$5:$H$36,7,0)</f>
        <v>0</v>
      </c>
      <c r="J20" s="23">
        <f t="shared" si="7"/>
        <v>2849371908</v>
      </c>
      <c r="K20" s="25">
        <f t="shared" si="8"/>
        <v>1</v>
      </c>
      <c r="L20" s="23">
        <f t="shared" si="9"/>
        <v>2849371908</v>
      </c>
      <c r="M20" s="25">
        <f t="shared" si="12"/>
        <v>1</v>
      </c>
      <c r="N20" s="23">
        <f t="shared" si="10"/>
        <v>2849371908</v>
      </c>
      <c r="O20" s="25">
        <f t="shared" si="11"/>
        <v>1</v>
      </c>
    </row>
    <row r="21" spans="1:15" x14ac:dyDescent="0.25">
      <c r="A21" s="22" t="str">
        <f>+'[1]TD-EPA'!A17</f>
        <v>MESADAS PENSIONALES (DE PENSIONES)</v>
      </c>
      <c r="B21" s="23">
        <f>VLOOKUP(A21,'[1]TD-EPA'!$A$5:$H$36,2,0)</f>
        <v>431753000</v>
      </c>
      <c r="C21" s="24">
        <f>VLOOKUP(A21,'[1]TD-EPA'!$A$5:$H$36,3,0)</f>
        <v>431753000</v>
      </c>
      <c r="D21" s="24">
        <f>VLOOKUP(A21,'[1]TD-EPA'!$A$5:$H$36,5,0)</f>
        <v>74468461.680000007</v>
      </c>
      <c r="E21" s="25">
        <f t="shared" si="5"/>
        <v>0.17247931497870311</v>
      </c>
      <c r="F21" s="23">
        <f>VLOOKUP(A21,'[1]TD-EPA'!$A$5:$H$36,6,0)</f>
        <v>74468461.680000007</v>
      </c>
      <c r="G21" s="25">
        <f t="shared" si="6"/>
        <v>0.17247931497870311</v>
      </c>
      <c r="H21" s="23">
        <f>VLOOKUP(A21,'[1]TD-EPA'!$A$5:$H$36,4,0)</f>
        <v>431753000</v>
      </c>
      <c r="I21" s="23">
        <f>VLOOKUP(A21,'[1]TD-EPA'!$A$5:$H$36,7,0)</f>
        <v>74468461.680000007</v>
      </c>
      <c r="J21" s="23">
        <f t="shared" si="7"/>
        <v>0</v>
      </c>
      <c r="K21" s="25">
        <f t="shared" si="8"/>
        <v>0</v>
      </c>
      <c r="L21" s="23">
        <f t="shared" si="9"/>
        <v>357284538.31999999</v>
      </c>
      <c r="M21" s="25">
        <f t="shared" si="12"/>
        <v>0.82752068502129683</v>
      </c>
      <c r="N21" s="23">
        <f t="shared" si="10"/>
        <v>357284538.31999999</v>
      </c>
      <c r="O21" s="25">
        <f t="shared" si="11"/>
        <v>0.82752068502129683</v>
      </c>
    </row>
    <row r="22" spans="1:15" ht="28.5" x14ac:dyDescent="0.25">
      <c r="A22" s="22" t="str">
        <f>+'[1]TD-EPA'!A18</f>
        <v>APORTE PREVISION SOCIAL SERVICIOS MEDICOS (NO DE PENSIONES)</v>
      </c>
      <c r="B22" s="23">
        <f>VLOOKUP(A22,'[1]TD-EPA'!$A$5:$H$36,2,0)</f>
        <v>680312000</v>
      </c>
      <c r="C22" s="24">
        <f>VLOOKUP(A22,'[1]TD-EPA'!$A$5:$H$36,3,0)</f>
        <v>680312000</v>
      </c>
      <c r="D22" s="24">
        <f>VLOOKUP(A22,'[1]TD-EPA'!$A$5:$H$36,5,0)</f>
        <v>182161768</v>
      </c>
      <c r="E22" s="25">
        <f t="shared" si="5"/>
        <v>0.26776209739060902</v>
      </c>
      <c r="F22" s="23">
        <f>VLOOKUP(A22,'[1]TD-EPA'!$A$5:$H$36,6,0)</f>
        <v>122331929</v>
      </c>
      <c r="G22" s="25">
        <f t="shared" si="6"/>
        <v>0.17981739113818365</v>
      </c>
      <c r="H22" s="23">
        <f>VLOOKUP(A22,'[1]TD-EPA'!$A$5:$H$36,4,0)</f>
        <v>680312000</v>
      </c>
      <c r="I22" s="23">
        <f>VLOOKUP(A22,'[1]TD-EPA'!$A$5:$H$36,7,0)</f>
        <v>122331929</v>
      </c>
      <c r="J22" s="23">
        <f t="shared" si="7"/>
        <v>0</v>
      </c>
      <c r="K22" s="25">
        <f t="shared" si="8"/>
        <v>0</v>
      </c>
      <c r="L22" s="23">
        <f t="shared" si="9"/>
        <v>498150232</v>
      </c>
      <c r="M22" s="25">
        <f t="shared" si="12"/>
        <v>0.73223790260939103</v>
      </c>
      <c r="N22" s="23">
        <f t="shared" si="10"/>
        <v>557980071</v>
      </c>
      <c r="O22" s="25">
        <f t="shared" si="11"/>
        <v>0.82018260886181638</v>
      </c>
    </row>
    <row r="23" spans="1:15" x14ac:dyDescent="0.25">
      <c r="A23" s="22" t="str">
        <f>+'[1]TD-EPA'!A19</f>
        <v>SENTENCIAS</v>
      </c>
      <c r="B23" s="23">
        <f>VLOOKUP(A23,'[1]TD-EPA'!$A$5:$H$36,2,0)</f>
        <v>2121800000</v>
      </c>
      <c r="C23" s="24">
        <f>VLOOKUP(A23,'[1]TD-EPA'!$A$5:$H$36,3,0)</f>
        <v>2121800000</v>
      </c>
      <c r="D23" s="24">
        <f>VLOOKUP(A23,'[1]TD-EPA'!$A$5:$H$36,5,0)</f>
        <v>126786056</v>
      </c>
      <c r="E23" s="25">
        <f t="shared" si="5"/>
        <v>5.9754008860401546E-2</v>
      </c>
      <c r="F23" s="23">
        <f>VLOOKUP(A23,'[1]TD-EPA'!$A$5:$H$36,6,0)</f>
        <v>120941399</v>
      </c>
      <c r="G23" s="25">
        <f t="shared" si="6"/>
        <v>5.6999433971156567E-2</v>
      </c>
      <c r="H23" s="23">
        <f>VLOOKUP(A23,'[1]TD-EPA'!$A$5:$H$36,4,0)</f>
        <v>564119102</v>
      </c>
      <c r="I23" s="23">
        <f>VLOOKUP(A23,'[1]TD-EPA'!$A$5:$H$36,7,0)</f>
        <v>120941399</v>
      </c>
      <c r="J23" s="23">
        <f t="shared" si="7"/>
        <v>1557680898</v>
      </c>
      <c r="K23" s="25">
        <f t="shared" si="8"/>
        <v>0.7341318210952964</v>
      </c>
      <c r="L23" s="23">
        <f t="shared" si="9"/>
        <v>1995013944</v>
      </c>
      <c r="M23" s="25">
        <f t="shared" si="12"/>
        <v>0.9402459911395985</v>
      </c>
      <c r="N23" s="23">
        <f t="shared" si="10"/>
        <v>2000858601</v>
      </c>
      <c r="O23" s="25">
        <f t="shared" si="11"/>
        <v>0.94300056602884341</v>
      </c>
    </row>
    <row r="24" spans="1:15" x14ac:dyDescent="0.25">
      <c r="A24" s="22" t="str">
        <f>+'[1]TD-EPA'!A20</f>
        <v>CONCILIACIONES</v>
      </c>
      <c r="B24" s="23">
        <f>VLOOKUP(A24,'[1]TD-EPA'!$A$5:$H$36,2,0)</f>
        <v>2121800000</v>
      </c>
      <c r="C24" s="24">
        <f>VLOOKUP(A24,'[1]TD-EPA'!$A$5:$H$36,3,0)</f>
        <v>2121800000</v>
      </c>
      <c r="D24" s="24">
        <f>VLOOKUP(A24,'[1]TD-EPA'!$A$5:$H$36,5,0)</f>
        <v>176152200</v>
      </c>
      <c r="E24" s="25">
        <f t="shared" si="5"/>
        <v>8.302017155245546E-2</v>
      </c>
      <c r="F24" s="23">
        <f>VLOOKUP(A24,'[1]TD-EPA'!$A$5:$H$36,6,0)</f>
        <v>148843479</v>
      </c>
      <c r="G24" s="25">
        <f t="shared" si="6"/>
        <v>7.0149627203317938E-2</v>
      </c>
      <c r="H24" s="23">
        <f>VLOOKUP(A24,'[1]TD-EPA'!$A$5:$H$36,4,0)</f>
        <v>1405357551</v>
      </c>
      <c r="I24" s="23">
        <f>VLOOKUP(A24,'[1]TD-EPA'!$A$5:$H$36,7,0)</f>
        <v>148843479</v>
      </c>
      <c r="J24" s="23">
        <f t="shared" si="7"/>
        <v>716442449</v>
      </c>
      <c r="K24" s="25">
        <f t="shared" si="8"/>
        <v>0.33765786077858423</v>
      </c>
      <c r="L24" s="23">
        <f t="shared" si="9"/>
        <v>1945647800</v>
      </c>
      <c r="M24" s="25">
        <f t="shared" si="12"/>
        <v>0.91697982844754455</v>
      </c>
      <c r="N24" s="23">
        <f t="shared" si="10"/>
        <v>1972956521</v>
      </c>
      <c r="O24" s="25">
        <f t="shared" si="11"/>
        <v>0.92985037279668203</v>
      </c>
    </row>
    <row r="25" spans="1:15" ht="42.75" x14ac:dyDescent="0.25">
      <c r="A25" s="22" t="str">
        <f>+'[1]TD-EPA'!A21</f>
        <v>INCAPACIDADES Y LICENCIAS DE MATERNIDAD Y PATERNIDAD (NO DE PENSIONES)</v>
      </c>
      <c r="B25" s="23">
        <f>VLOOKUP(A25,'[1]TD-EPA'!$A$5:$H$36,2,0)</f>
        <v>134591000</v>
      </c>
      <c r="C25" s="24">
        <f>VLOOKUP(A25,'[1]TD-EPA'!$A$5:$H$36,3,0)</f>
        <v>134591000</v>
      </c>
      <c r="D25" s="24">
        <f>VLOOKUP(A25,'[1]TD-EPA'!$A$5:$H$36,5,0)</f>
        <v>10572692</v>
      </c>
      <c r="E25" s="25">
        <f t="shared" si="5"/>
        <v>7.8554227251450698E-2</v>
      </c>
      <c r="F25" s="23">
        <f>VLOOKUP(A25,'[1]TD-EPA'!$A$5:$H$36,6,0)</f>
        <v>10572692</v>
      </c>
      <c r="G25" s="25">
        <f t="shared" si="6"/>
        <v>7.8554227251450698E-2</v>
      </c>
      <c r="H25" s="23">
        <f>VLOOKUP(A25,'[1]TD-EPA'!$A$5:$H$36,4,0)</f>
        <v>134591000</v>
      </c>
      <c r="I25" s="23">
        <f>VLOOKUP(A25,'[1]TD-EPA'!$A$5:$H$36,7,0)</f>
        <v>10572692</v>
      </c>
      <c r="J25" s="23">
        <f t="shared" si="7"/>
        <v>0</v>
      </c>
      <c r="K25" s="25">
        <f t="shared" si="8"/>
        <v>0</v>
      </c>
      <c r="L25" s="23">
        <f t="shared" si="9"/>
        <v>124018308</v>
      </c>
      <c r="M25" s="25">
        <f t="shared" si="12"/>
        <v>0.92144577274854933</v>
      </c>
      <c r="N25" s="23">
        <f t="shared" si="10"/>
        <v>124018308</v>
      </c>
      <c r="O25" s="25">
        <f t="shared" si="11"/>
        <v>0.92144577274854933</v>
      </c>
    </row>
    <row r="26" spans="1:15" x14ac:dyDescent="0.25">
      <c r="A26" s="22" t="str">
        <f>+'[1]TD-EPA'!A23</f>
        <v>IMPUESTOS</v>
      </c>
      <c r="B26" s="23">
        <f>VLOOKUP(A26,'[1]TD-EPA'!$A$5:$H$36,2,0)</f>
        <v>53045000</v>
      </c>
      <c r="C26" s="24">
        <f>VLOOKUP(A26,'[1]TD-EPA'!$A$5:$H$36,3,0)</f>
        <v>53045000</v>
      </c>
      <c r="D26" s="24">
        <f>VLOOKUP(A26,'[1]TD-EPA'!$A$5:$H$36,5,0)</f>
        <v>0</v>
      </c>
      <c r="E26" s="25">
        <f t="shared" si="5"/>
        <v>0</v>
      </c>
      <c r="F26" s="23">
        <f>VLOOKUP(A26,'[1]TD-EPA'!$A$5:$H$36,6,0)</f>
        <v>0</v>
      </c>
      <c r="G26" s="25">
        <f t="shared" si="6"/>
        <v>0</v>
      </c>
      <c r="H26" s="23">
        <f>VLOOKUP(A26,'[1]TD-EPA'!$A$5:$H$36,4,0)</f>
        <v>0</v>
      </c>
      <c r="I26" s="23">
        <f>VLOOKUP(A26,'[1]TD-EPA'!$A$5:$H$36,7,0)</f>
        <v>0</v>
      </c>
      <c r="J26" s="23">
        <f t="shared" si="7"/>
        <v>53045000</v>
      </c>
      <c r="K26" s="25">
        <f t="shared" si="8"/>
        <v>1</v>
      </c>
      <c r="L26" s="23">
        <f t="shared" si="9"/>
        <v>53045000</v>
      </c>
      <c r="M26" s="25">
        <f t="shared" si="12"/>
        <v>1</v>
      </c>
      <c r="N26" s="23">
        <f t="shared" si="10"/>
        <v>53045000</v>
      </c>
      <c r="O26" s="25">
        <f t="shared" si="11"/>
        <v>1</v>
      </c>
    </row>
    <row r="27" spans="1:15" x14ac:dyDescent="0.25">
      <c r="A27" s="22" t="str">
        <f>+'[1]TD-EPA'!A24</f>
        <v>CUOTA DE FISCALIZACIÓN Y AUDITAJE</v>
      </c>
      <c r="B27" s="23">
        <f>VLOOKUP(A27,'[1]TD-EPA'!$A$5:$H$36,2,0)</f>
        <v>330937000</v>
      </c>
      <c r="C27" s="24">
        <f>VLOOKUP(A27,'[1]TD-EPA'!$A$5:$H$36,3,0)</f>
        <v>330937000</v>
      </c>
      <c r="D27" s="24">
        <f>VLOOKUP(A27,'[1]TD-EPA'!$A$5:$H$36,5,0)</f>
        <v>0</v>
      </c>
      <c r="E27" s="25">
        <f t="shared" si="5"/>
        <v>0</v>
      </c>
      <c r="F27" s="23">
        <f>VLOOKUP(A27,'[1]TD-EPA'!$A$5:$H$36,6,0)</f>
        <v>0</v>
      </c>
      <c r="G27" s="25">
        <f t="shared" si="6"/>
        <v>0</v>
      </c>
      <c r="H27" s="23">
        <f>VLOOKUP(A27,'[1]TD-EPA'!$A$5:$H$36,4,0)</f>
        <v>0</v>
      </c>
      <c r="I27" s="23">
        <f>VLOOKUP(A27,'[1]TD-EPA'!$A$5:$H$36,7,0)</f>
        <v>0</v>
      </c>
      <c r="J27" s="23">
        <f t="shared" si="7"/>
        <v>330937000</v>
      </c>
      <c r="K27" s="25">
        <f t="shared" si="8"/>
        <v>1</v>
      </c>
      <c r="L27" s="23">
        <f t="shared" si="9"/>
        <v>330937000</v>
      </c>
      <c r="M27" s="25">
        <f t="shared" si="12"/>
        <v>1</v>
      </c>
      <c r="N27" s="23">
        <f t="shared" si="10"/>
        <v>330937000</v>
      </c>
      <c r="O27" s="25">
        <f t="shared" si="11"/>
        <v>1</v>
      </c>
    </row>
    <row r="28" spans="1:15" s="18" customFormat="1" ht="15.75" customHeight="1" x14ac:dyDescent="0.25">
      <c r="A28" s="15" t="s">
        <v>22</v>
      </c>
      <c r="B28" s="16">
        <f>SUM(B29:B40)</f>
        <v>163731685495</v>
      </c>
      <c r="C28" s="16">
        <f>SUM(C29:C40)</f>
        <v>163731685495</v>
      </c>
      <c r="D28" s="16">
        <f>SUM(D29:D40)</f>
        <v>123372011631.78</v>
      </c>
      <c r="E28" s="17">
        <f t="shared" si="5"/>
        <v>0.75350113973845034</v>
      </c>
      <c r="F28" s="16">
        <f>SUM(F29:F40)</f>
        <v>11497240550.549999</v>
      </c>
      <c r="G28" s="17">
        <f>+F28/C28</f>
        <v>7.0220009742103948E-2</v>
      </c>
      <c r="H28" s="16">
        <f>SUM(H29:H40)</f>
        <v>143975657013.48001</v>
      </c>
      <c r="I28" s="16">
        <f>SUM(I29:I40)</f>
        <v>11496819406.549999</v>
      </c>
      <c r="J28" s="16">
        <f>SUM(J29:J40)</f>
        <v>19756028481.52</v>
      </c>
      <c r="K28" s="17">
        <f>+J28/C28</f>
        <v>0.12066099742266016</v>
      </c>
      <c r="L28" s="16">
        <f>SUM(L29:L40)</f>
        <v>40359673863.220001</v>
      </c>
      <c r="M28" s="17">
        <f>+L28/C28</f>
        <v>0.24649886026154966</v>
      </c>
      <c r="N28" s="16">
        <f>SUM(N29:N40)</f>
        <v>152234444944.45001</v>
      </c>
      <c r="O28" s="17">
        <f t="shared" si="11"/>
        <v>0.92977999025789615</v>
      </c>
    </row>
    <row r="29" spans="1:15" ht="57" x14ac:dyDescent="0.25">
      <c r="A29" s="22" t="str">
        <f>+'[1]TD-EPA'!A27</f>
        <v>INCREMENTO DE LA COBERTURA DE LOS SERVICIOS DE LA RED NACIONAL DE PROTECCIÓN AL CONSUMIDOR EN EL TERRITORIO  NACIONAL</v>
      </c>
      <c r="B29" s="23">
        <f>VLOOKUP(A29,'[1]TD-EPA'!$A$5:$H$38,2,0)</f>
        <v>42000000000</v>
      </c>
      <c r="C29" s="24">
        <f>VLOOKUP(A29,'[1]TD-EPA'!$A$5:$H$38,3,0)</f>
        <v>42000000000</v>
      </c>
      <c r="D29" s="24">
        <f>VLOOKUP(A29,'[1]TD-EPA'!$A$5:$H$38,5,0)</f>
        <v>26205676144</v>
      </c>
      <c r="E29" s="25">
        <f t="shared" si="5"/>
        <v>0.62394467009523813</v>
      </c>
      <c r="F29" s="23">
        <f>VLOOKUP(A29,'[1]TD-EPA'!$A$5:$H$38,6,0)</f>
        <v>2596386446</v>
      </c>
      <c r="G29" s="25">
        <f t="shared" si="6"/>
        <v>6.1818724904761903E-2</v>
      </c>
      <c r="H29" s="23">
        <f>VLOOKUP(A29,'[1]TD-EPA'!$A$5:$H$38,4,0)</f>
        <v>33557004093</v>
      </c>
      <c r="I29" s="23">
        <f>VLOOKUP(A29,'[1]TD-EPA'!$A$5:$H$36,7,0)</f>
        <v>2596386446</v>
      </c>
      <c r="J29" s="23">
        <f t="shared" si="7"/>
        <v>8442995907</v>
      </c>
      <c r="K29" s="25">
        <f t="shared" si="8"/>
        <v>0.20102371207142858</v>
      </c>
      <c r="L29" s="23">
        <f t="shared" si="9"/>
        <v>15794323856</v>
      </c>
      <c r="M29" s="25">
        <f t="shared" si="12"/>
        <v>0.37605532990476193</v>
      </c>
      <c r="N29" s="23">
        <f t="shared" si="10"/>
        <v>39403613554</v>
      </c>
      <c r="O29" s="25">
        <f t="shared" si="11"/>
        <v>0.93818127509523808</v>
      </c>
    </row>
    <row r="30" spans="1:15" ht="57" x14ac:dyDescent="0.25">
      <c r="A30" s="22" t="str">
        <f>+'[1]TD-EPA'!A28</f>
        <v>MEJORAMIENTO DEL CONTROL Y VIGILANCIA A LAS CÁMARAS DE COMERCIO Y COMERCIANTES A NIVEL  NACIONAL</v>
      </c>
      <c r="B30" s="23">
        <f>VLOOKUP(A30,'[1]TD-EPA'!$A$5:$H$38,2,0)</f>
        <v>1051321372</v>
      </c>
      <c r="C30" s="24">
        <f>VLOOKUP(A30,'[1]TD-EPA'!$A$5:$H$38,3,0)</f>
        <v>1051321372</v>
      </c>
      <c r="D30" s="24">
        <f>VLOOKUP(A30,'[1]TD-EPA'!$A$5:$H$38,5,0)</f>
        <v>836399432</v>
      </c>
      <c r="E30" s="25">
        <f t="shared" si="5"/>
        <v>0.79556970330476651</v>
      </c>
      <c r="F30" s="23">
        <f>VLOOKUP(A30,'[1]TD-EPA'!$A$5:$H$38,6,0)</f>
        <v>115315509</v>
      </c>
      <c r="G30" s="25">
        <f t="shared" si="6"/>
        <v>0.10968625966447108</v>
      </c>
      <c r="H30" s="23">
        <f>VLOOKUP(A30,'[1]TD-EPA'!$A$5:$H$38,4,0)</f>
        <v>1051321372</v>
      </c>
      <c r="I30" s="23">
        <f>VLOOKUP(A30,'[1]TD-EPA'!$A$5:$H$36,7,0)</f>
        <v>115315509</v>
      </c>
      <c r="J30" s="23">
        <f t="shared" si="7"/>
        <v>0</v>
      </c>
      <c r="K30" s="25">
        <f t="shared" si="8"/>
        <v>0</v>
      </c>
      <c r="L30" s="23">
        <f t="shared" si="9"/>
        <v>214921940</v>
      </c>
      <c r="M30" s="25">
        <f t="shared" si="12"/>
        <v>0.20443029669523355</v>
      </c>
      <c r="N30" s="23">
        <f t="shared" si="10"/>
        <v>936005863</v>
      </c>
      <c r="O30" s="25">
        <f t="shared" si="11"/>
        <v>0.8903137403355289</v>
      </c>
    </row>
    <row r="31" spans="1:15" ht="57" x14ac:dyDescent="0.25">
      <c r="A31" s="22" t="str">
        <f>+'[1]TD-EPA'!A29</f>
        <v>FORTALECIMIENTO DE LA FUNCIÓN JURISDICCIONAL DE LA SUPERINTENDENCIA DE INDUSTRIA Y COMERCIO A NIVEL  NACIONAL</v>
      </c>
      <c r="B31" s="23">
        <f>VLOOKUP(A31,'[1]TD-EPA'!$A$5:$H$38,2,0)</f>
        <v>2980842971</v>
      </c>
      <c r="C31" s="24">
        <f>VLOOKUP(A31,'[1]TD-EPA'!$A$5:$H$38,3,0)</f>
        <v>2980842971</v>
      </c>
      <c r="D31" s="24">
        <f>VLOOKUP(A31,'[1]TD-EPA'!$A$5:$H$38,5,0)</f>
        <v>2690608821</v>
      </c>
      <c r="E31" s="25">
        <f t="shared" si="5"/>
        <v>0.90263353258671208</v>
      </c>
      <c r="F31" s="23">
        <f>VLOOKUP(A31,'[1]TD-EPA'!$A$5:$H$38,6,0)</f>
        <v>475704689</v>
      </c>
      <c r="G31" s="25">
        <f t="shared" si="6"/>
        <v>0.15958730252751713</v>
      </c>
      <c r="H31" s="23">
        <f>VLOOKUP(A31,'[1]TD-EPA'!$A$5:$H$38,4,0)</f>
        <v>2875604357</v>
      </c>
      <c r="I31" s="23">
        <f>VLOOKUP(A31,'[1]TD-EPA'!$A$5:$H$36,7,0)</f>
        <v>475283545</v>
      </c>
      <c r="J31" s="23">
        <f t="shared" si="7"/>
        <v>105238614</v>
      </c>
      <c r="K31" s="25">
        <f t="shared" si="8"/>
        <v>3.5304984202067853E-2</v>
      </c>
      <c r="L31" s="23">
        <f t="shared" si="9"/>
        <v>290234150</v>
      </c>
      <c r="M31" s="25">
        <f t="shared" si="12"/>
        <v>9.7366467413287971E-2</v>
      </c>
      <c r="N31" s="23">
        <f t="shared" si="10"/>
        <v>2505138282</v>
      </c>
      <c r="O31" s="25">
        <f t="shared" si="11"/>
        <v>0.84041269747248282</v>
      </c>
    </row>
    <row r="32" spans="1:15" ht="42.75" x14ac:dyDescent="0.25">
      <c r="A32" s="22" t="str">
        <f>+'[1]TD-EPA'!A30</f>
        <v>FORTALECIMIENTO DE LA PROTECCIÓN DE DATOS PERSONALES A NIVEL  NACIONAL</v>
      </c>
      <c r="B32" s="23">
        <f>VLOOKUP(A32,'[1]TD-EPA'!$A$5:$H$38,2,0)</f>
        <v>7099390975</v>
      </c>
      <c r="C32" s="24">
        <f>VLOOKUP(A32,'[1]TD-EPA'!$A$5:$H$38,3,0)</f>
        <v>7099390975</v>
      </c>
      <c r="D32" s="24">
        <f>VLOOKUP(A32,'[1]TD-EPA'!$A$5:$H$38,5,0)</f>
        <v>6597945353</v>
      </c>
      <c r="E32" s="25">
        <f t="shared" si="5"/>
        <v>0.92936779735532171</v>
      </c>
      <c r="F32" s="23">
        <f>VLOOKUP(A32,'[1]TD-EPA'!$A$5:$H$38,6,0)</f>
        <v>764787565</v>
      </c>
      <c r="G32" s="25">
        <f t="shared" si="6"/>
        <v>0.10772579897249566</v>
      </c>
      <c r="H32" s="23">
        <f>VLOOKUP(A32,'[1]TD-EPA'!$A$5:$H$38,4,0)</f>
        <v>7099390975</v>
      </c>
      <c r="I32" s="23">
        <f>VLOOKUP(A32,'[1]TD-EPA'!$A$5:$H$38,7,0)</f>
        <v>764787565</v>
      </c>
      <c r="J32" s="23">
        <f t="shared" si="7"/>
        <v>0</v>
      </c>
      <c r="K32" s="25">
        <f t="shared" si="8"/>
        <v>0</v>
      </c>
      <c r="L32" s="23">
        <f t="shared" si="9"/>
        <v>501445622</v>
      </c>
      <c r="M32" s="25">
        <f t="shared" si="12"/>
        <v>7.063220264467826E-2</v>
      </c>
      <c r="N32" s="23">
        <f t="shared" si="10"/>
        <v>6334603410</v>
      </c>
      <c r="O32" s="25">
        <f t="shared" si="11"/>
        <v>0.89227420102750432</v>
      </c>
    </row>
    <row r="33" spans="1:15" ht="57" x14ac:dyDescent="0.25">
      <c r="A33" s="22" t="str">
        <f>+'[1]TD-EPA'!A31</f>
        <v>FORTALECIMIENTO DEL RÉGIMEN DE PROTECCIÓN DE LA LIBRE COMPETENCIA ECONÓMICA EN LOS MERCADOS A NIVEL  NACIONAL</v>
      </c>
      <c r="B33" s="23">
        <f>VLOOKUP(A33,'[1]TD-EPA'!$A$5:$H$38,2,0)</f>
        <v>8956381813</v>
      </c>
      <c r="C33" s="24">
        <f>VLOOKUP(A33,'[1]TD-EPA'!$A$5:$H$38,3,0)</f>
        <v>8956381813</v>
      </c>
      <c r="D33" s="24">
        <f>VLOOKUP(A33,'[1]TD-EPA'!$A$5:$H$38,5,0)</f>
        <v>8179976622</v>
      </c>
      <c r="E33" s="25">
        <f t="shared" si="5"/>
        <v>0.91331262922790268</v>
      </c>
      <c r="F33" s="23">
        <f>VLOOKUP(A33,'[1]TD-EPA'!$A$5:$H$38,6,0)</f>
        <v>1015992905</v>
      </c>
      <c r="G33" s="25">
        <f t="shared" si="6"/>
        <v>0.11343787326320855</v>
      </c>
      <c r="H33" s="23">
        <f>VLOOKUP(A33,'[1]TD-EPA'!$A$5:$H$38,4,0)</f>
        <v>8932694390</v>
      </c>
      <c r="I33" s="23">
        <f>VLOOKUP(A33,'[1]TD-EPA'!$A$5:$H$36,7,0)</f>
        <v>1015992905</v>
      </c>
      <c r="J33" s="23">
        <f t="shared" si="7"/>
        <v>23687423</v>
      </c>
      <c r="K33" s="25">
        <f t="shared" si="8"/>
        <v>2.6447535952094183E-3</v>
      </c>
      <c r="L33" s="23">
        <f t="shared" si="9"/>
        <v>776405191</v>
      </c>
      <c r="M33" s="25">
        <f t="shared" si="12"/>
        <v>8.6687370772097302E-2</v>
      </c>
      <c r="N33" s="23">
        <f t="shared" si="10"/>
        <v>7940388908</v>
      </c>
      <c r="O33" s="25">
        <f t="shared" si="11"/>
        <v>0.88656212673679147</v>
      </c>
    </row>
    <row r="34" spans="1:15" ht="71.25" x14ac:dyDescent="0.25">
      <c r="A34" s="22" t="str">
        <f>+'[1]TD-EPA'!A32</f>
        <v>FORTALECIMIENTO DE LA ATENCIÓN Y PROMOCIÓN DE TRÁMITES Y SERVICIOS EN EL MARCO DEL SISTEMA DE PROPIEDAD INDUSTRIAL A NIVEL  NACIONAL</v>
      </c>
      <c r="B34" s="23">
        <f>VLOOKUP(A34,'[1]TD-EPA'!$A$5:$H$38,2,0)</f>
        <v>11159819091</v>
      </c>
      <c r="C34" s="24">
        <f>VLOOKUP(A34,'[1]TD-EPA'!$A$5:$H$38,3,0)</f>
        <v>11159819091</v>
      </c>
      <c r="D34" s="24">
        <f>VLOOKUP(A34,'[1]TD-EPA'!$A$5:$H$38,5,0)</f>
        <v>9239082786</v>
      </c>
      <c r="E34" s="25">
        <f t="shared" si="5"/>
        <v>0.8278882220815742</v>
      </c>
      <c r="F34" s="23">
        <f>VLOOKUP(A34,'[1]TD-EPA'!$A$5:$H$38,6,0)</f>
        <v>875294523</v>
      </c>
      <c r="G34" s="25">
        <f t="shared" si="6"/>
        <v>7.8432680302666744E-2</v>
      </c>
      <c r="H34" s="23">
        <f>VLOOKUP(A34,'[1]TD-EPA'!$A$5:$H$38,4,0)</f>
        <v>10190151191</v>
      </c>
      <c r="I34" s="23">
        <f>VLOOKUP(A34,'[1]TD-EPA'!$A$5:$H$36,7,0)</f>
        <v>875294523</v>
      </c>
      <c r="J34" s="23">
        <f t="shared" si="7"/>
        <v>969667900</v>
      </c>
      <c r="K34" s="25">
        <f t="shared" si="8"/>
        <v>8.6889213175686958E-2</v>
      </c>
      <c r="L34" s="23">
        <f t="shared" si="9"/>
        <v>1920736305</v>
      </c>
      <c r="M34" s="25">
        <f t="shared" si="12"/>
        <v>0.17211177791842575</v>
      </c>
      <c r="N34" s="23">
        <f t="shared" si="10"/>
        <v>10284524568</v>
      </c>
      <c r="O34" s="25">
        <f t="shared" si="11"/>
        <v>0.9215673196973333</v>
      </c>
    </row>
    <row r="35" spans="1:15" ht="57" x14ac:dyDescent="0.25">
      <c r="A35" s="22" t="str">
        <f>+'[1]TD-EPA'!A33</f>
        <v>MEJORAMIENTO EN LA EJECUCIÓN DE LAS FUNCIONES ASIGNADAS EN MATERIA DE PROTECCIÓN AL CONSUMIDOR A NIVEL  NACIONAL</v>
      </c>
      <c r="B35" s="23">
        <f>VLOOKUP(A35,'[1]TD-EPA'!$A$5:$H$38,2,0)</f>
        <v>12011116086</v>
      </c>
      <c r="C35" s="24">
        <f>VLOOKUP(A35,'[1]TD-EPA'!$A$5:$H$38,3,0)</f>
        <v>12011116086</v>
      </c>
      <c r="D35" s="24">
        <f>VLOOKUP(A35,'[1]TD-EPA'!$A$5:$H$38,5,0)</f>
        <v>10135061321</v>
      </c>
      <c r="E35" s="25">
        <f t="shared" si="5"/>
        <v>0.8438067910119772</v>
      </c>
      <c r="F35" s="23">
        <f>VLOOKUP(A35,'[1]TD-EPA'!$A$5:$H$38,6,0)</f>
        <v>918797389</v>
      </c>
      <c r="G35" s="25">
        <f t="shared" si="6"/>
        <v>7.649558812198462E-2</v>
      </c>
      <c r="H35" s="23">
        <f>VLOOKUP(A35,'[1]TD-EPA'!$A$5:$H$38,4,0)</f>
        <v>11772227878</v>
      </c>
      <c r="I35" s="23">
        <f>VLOOKUP(A35,'[1]TD-EPA'!$A$5:$H$36,7,0)</f>
        <v>918797389</v>
      </c>
      <c r="J35" s="23">
        <f t="shared" si="7"/>
        <v>238888208</v>
      </c>
      <c r="K35" s="25">
        <f t="shared" si="8"/>
        <v>1.9888926748318166E-2</v>
      </c>
      <c r="L35" s="23">
        <f t="shared" si="9"/>
        <v>1876054765</v>
      </c>
      <c r="M35" s="25">
        <f t="shared" si="12"/>
        <v>0.15619320898802277</v>
      </c>
      <c r="N35" s="23">
        <f t="shared" si="10"/>
        <v>11092318697</v>
      </c>
      <c r="O35" s="25">
        <f t="shared" si="11"/>
        <v>0.92350441187801535</v>
      </c>
    </row>
    <row r="36" spans="1:15" ht="99.75" x14ac:dyDescent="0.25">
      <c r="A36" s="22" t="str">
        <f>+'[1]TD-EPA'!A34</f>
        <v>FORTALECIMIENTO DE LA FUNCIÓN DE INSPECCIÓN, CONTROL Y VIGILANCIA DE LA SUPERINTENDENCIA DE INDUSTRIA Y COMERCIO EN EL MARCO DEL SUBSISTEMA NACIONAL DE CALIDAD, EL RÉGIMEN DE CONTROL DE PRECIOS Y EL SECTOR VALUATORIO A NIVEL  NACIONAL</v>
      </c>
      <c r="B36" s="23">
        <f>VLOOKUP(A36,'[1]TD-EPA'!$A$5:$H$38,2,0)</f>
        <v>6278593127</v>
      </c>
      <c r="C36" s="24">
        <f>VLOOKUP(A36,'[1]TD-EPA'!$A$5:$H$38,3,0)</f>
        <v>6278593127</v>
      </c>
      <c r="D36" s="24">
        <f>VLOOKUP(A36,'[1]TD-EPA'!$A$5:$H$38,5,0)</f>
        <v>4863153418</v>
      </c>
      <c r="E36" s="25">
        <f t="shared" si="5"/>
        <v>0.77456100747902468</v>
      </c>
      <c r="F36" s="23">
        <f>VLOOKUP(A36,'[1]TD-EPA'!$A$5:$H$38,6,0)</f>
        <v>600171074</v>
      </c>
      <c r="G36" s="25">
        <f t="shared" si="6"/>
        <v>9.5590056858290195E-2</v>
      </c>
      <c r="H36" s="23">
        <f>VLOOKUP(A36,'[1]TD-EPA'!$A$5:$H$38,4,0)</f>
        <v>6120887623</v>
      </c>
      <c r="I36" s="23">
        <f>VLOOKUP(A36,'[1]TD-EPA'!$A$5:$H$36,7,0)</f>
        <v>600171074</v>
      </c>
      <c r="J36" s="23">
        <f t="shared" si="7"/>
        <v>157705504</v>
      </c>
      <c r="K36" s="25">
        <f t="shared" si="8"/>
        <v>2.5117968438154538E-2</v>
      </c>
      <c r="L36" s="23">
        <f t="shared" si="9"/>
        <v>1415439709</v>
      </c>
      <c r="M36" s="25">
        <f t="shared" si="12"/>
        <v>0.22543899252097532</v>
      </c>
      <c r="N36" s="23">
        <f t="shared" si="10"/>
        <v>5678422053</v>
      </c>
      <c r="O36" s="25">
        <f t="shared" si="11"/>
        <v>0.90440994314170986</v>
      </c>
    </row>
    <row r="37" spans="1:15" ht="57" x14ac:dyDescent="0.25">
      <c r="A37" s="22" t="str">
        <f>+'[1]TD-EPA'!A36</f>
        <v>FORTALECIMIENTO DEL SISTEMA DE ATENCIÓN AL CIUDADANO DE LA SUPERINTENDENCIA DE INDUSTRIA Y COMERCIO A NIVEL  NACIONAL</v>
      </c>
      <c r="B37" s="23">
        <f>VLOOKUP(A37,'[1]TD-EPA'!$A$5:$H$38,2,0)</f>
        <v>32253058720</v>
      </c>
      <c r="C37" s="24">
        <f>VLOOKUP(A37,'[1]TD-EPA'!$A$5:$H$38,3,0)</f>
        <v>32253058720</v>
      </c>
      <c r="D37" s="24">
        <f>VLOOKUP(A37,'[1]TD-EPA'!$A$5:$H$38,5,0)</f>
        <v>25878310630.099998</v>
      </c>
      <c r="E37" s="25">
        <f t="shared" si="5"/>
        <v>0.80235213828116569</v>
      </c>
      <c r="F37" s="23">
        <f>VLOOKUP(A37,'[1]TD-EPA'!$A$5:$H$38,6,0)</f>
        <v>3004216499.1500001</v>
      </c>
      <c r="G37" s="25">
        <f t="shared" si="6"/>
        <v>9.3145165710658534E-2</v>
      </c>
      <c r="H37" s="23">
        <f>VLOOKUP(A37,'[1]TD-EPA'!$A$5:$H$38,4,0)</f>
        <v>29545859396.799999</v>
      </c>
      <c r="I37" s="23">
        <f>VLOOKUP(A37,'[1]TD-EPA'!$A$5:$H$36,7,0)</f>
        <v>3004216499.1500001</v>
      </c>
      <c r="J37" s="23">
        <f t="shared" si="7"/>
        <v>2707199323.2000008</v>
      </c>
      <c r="K37" s="25">
        <f t="shared" si="8"/>
        <v>8.3936204212510135E-2</v>
      </c>
      <c r="L37" s="23">
        <f t="shared" si="9"/>
        <v>6374748089.9000015</v>
      </c>
      <c r="M37" s="25">
        <f t="shared" si="12"/>
        <v>0.19764786171883425</v>
      </c>
      <c r="N37" s="23">
        <f t="shared" si="10"/>
        <v>29248842220.849998</v>
      </c>
      <c r="O37" s="25">
        <f t="shared" si="11"/>
        <v>0.90685483428934144</v>
      </c>
    </row>
    <row r="38" spans="1:15" ht="71.25" x14ac:dyDescent="0.25">
      <c r="A38" s="22" t="str">
        <f>+'[1]TD-EPA'!A37</f>
        <v>MEJORAMIENTO DE LOS SISTEMAS DE INFORMACIÓN Y SERVICIOS TECNOLÓGICOS DE LA SUPERINTENDENCIA DE INDUSTRIA Y COMERCIO EN EL TERRITORIO  NACIONAL</v>
      </c>
      <c r="B38" s="23">
        <f>VLOOKUP(A38,'[1]TD-EPA'!$A$5:$H$38,2,0)</f>
        <v>35326676910</v>
      </c>
      <c r="C38" s="24">
        <f>VLOOKUP(A38,'[1]TD-EPA'!$A$5:$H$38,3,0)</f>
        <v>35326676910</v>
      </c>
      <c r="D38" s="24">
        <f>VLOOKUP(A38,'[1]TD-EPA'!$A$5:$H$38,5,0)</f>
        <v>25087693759.68</v>
      </c>
      <c r="E38" s="25">
        <f t="shared" si="5"/>
        <v>0.71016285578161387</v>
      </c>
      <c r="F38" s="23">
        <f>VLOOKUP(A38,'[1]TD-EPA'!$A$5:$H$38,6,0)</f>
        <v>832017902.39999998</v>
      </c>
      <c r="G38" s="25">
        <f t="shared" si="6"/>
        <v>2.3552113450118452E-2</v>
      </c>
      <c r="H38" s="23">
        <f>VLOOKUP(A38,'[1]TD-EPA'!$A$5:$H$38,4,0)</f>
        <v>28947658034.68</v>
      </c>
      <c r="I38" s="23">
        <f>VLOOKUP(A38,'[1]TD-EPA'!$A$5:$H$40,7,0)</f>
        <v>832017902.39999998</v>
      </c>
      <c r="J38" s="23">
        <f t="shared" si="7"/>
        <v>6379018875.3199997</v>
      </c>
      <c r="K38" s="25">
        <f t="shared" si="8"/>
        <v>0.18057228795030753</v>
      </c>
      <c r="L38" s="23">
        <f t="shared" si="9"/>
        <v>10238983150.32</v>
      </c>
      <c r="M38" s="25">
        <f t="shared" si="12"/>
        <v>0.28983714421838608</v>
      </c>
      <c r="N38" s="23">
        <f t="shared" si="10"/>
        <v>34494659007.599998</v>
      </c>
      <c r="O38" s="25">
        <f t="shared" si="11"/>
        <v>0.97644788654988146</v>
      </c>
    </row>
    <row r="39" spans="1:15" ht="57" x14ac:dyDescent="0.25">
      <c r="A39" s="22" t="str">
        <f>+'[1]TD-EPA'!A38</f>
        <v>MEJORAMIENTO DE LA INFRAESTRUCTURA FÍSICA DE LA SEDE DE LA SUPERINTENDENCIA DE INDUSTRIA Y COMERCIO EN  BOGOTÁ</v>
      </c>
      <c r="B39" s="23">
        <f>VLOOKUP(A39,'[1]TD-EPA'!$A$5:$H$38,2,0)</f>
        <v>172459431</v>
      </c>
      <c r="C39" s="24">
        <f>VLOOKUP(A39,'[1]TD-EPA'!$A$5:$H$38,3,0)</f>
        <v>172459431</v>
      </c>
      <c r="D39" s="24">
        <f>VLOOKUP(A39,'[1]TD-EPA'!$A$5:$H$38,5,0)</f>
        <v>0</v>
      </c>
      <c r="E39" s="25">
        <f t="shared" si="5"/>
        <v>0</v>
      </c>
      <c r="F39" s="23">
        <f>VLOOKUP(A39,'[1]TD-EPA'!$A$5:$H$38,6,0)</f>
        <v>0</v>
      </c>
      <c r="G39" s="25">
        <f t="shared" si="6"/>
        <v>0</v>
      </c>
      <c r="H39" s="23">
        <f>VLOOKUP(A39,'[1]TD-EPA'!$A$5:$H$38,4,0)</f>
        <v>80000000</v>
      </c>
      <c r="I39" s="23">
        <f>VLOOKUP(A39,'[1]TD-EPA'!$A$5:$H$38,7,0)</f>
        <v>0</v>
      </c>
      <c r="J39" s="23">
        <f t="shared" si="7"/>
        <v>92459431</v>
      </c>
      <c r="K39" s="25">
        <f t="shared" si="8"/>
        <v>0.53612278820518666</v>
      </c>
      <c r="L39" s="23">
        <f t="shared" si="9"/>
        <v>172459431</v>
      </c>
      <c r="M39" s="25">
        <f t="shared" si="12"/>
        <v>1</v>
      </c>
      <c r="N39" s="23">
        <f t="shared" si="10"/>
        <v>172459431</v>
      </c>
      <c r="O39" s="25">
        <f t="shared" si="11"/>
        <v>1</v>
      </c>
    </row>
    <row r="40" spans="1:15" ht="57" x14ac:dyDescent="0.25">
      <c r="A40" s="22" t="str">
        <f>+'[1]TD-EPA'!A39</f>
        <v>MEJORAMIENTO EN LA CALIDAD DE LA GESTIÓN ESTRATÉGICA DE LA SUPERINTENDENCIA DE INDUSTRIA Y COMERCIO A NIVEL  NACIONAL</v>
      </c>
      <c r="B40" s="23">
        <f>VLOOKUP(A40,'[1]TD-EPA'!$A$5:$H$40,2,0)</f>
        <v>4442024999</v>
      </c>
      <c r="C40" s="24">
        <f>VLOOKUP(A40,'[1]TD-EPA'!$A$5:$H$40,3,0)</f>
        <v>4442024999</v>
      </c>
      <c r="D40" s="24">
        <f>VLOOKUP(A40,'[1]TD-EPA'!$A$5:$H$40,5,0)</f>
        <v>3658103345</v>
      </c>
      <c r="E40" s="25">
        <f t="shared" si="5"/>
        <v>0.82352155735807919</v>
      </c>
      <c r="F40" s="23">
        <f>VLOOKUP(A40,'[1]TD-EPA'!$A$5:$H$40,6,0)</f>
        <v>298556049</v>
      </c>
      <c r="G40" s="25">
        <f t="shared" si="6"/>
        <v>6.7211699408988398E-2</v>
      </c>
      <c r="H40" s="23">
        <f>VLOOKUP(A40,'[1]TD-EPA'!$A$5:$H$40,4,0)</f>
        <v>3802857703</v>
      </c>
      <c r="I40" s="23">
        <f>VLOOKUP(A40,'[1]TD-EPA'!$A$5:$H$40,7,0)</f>
        <v>298556049</v>
      </c>
      <c r="J40" s="23">
        <f t="shared" si="7"/>
        <v>639167296</v>
      </c>
      <c r="K40" s="25">
        <f t="shared" si="8"/>
        <v>0.14389097228041062</v>
      </c>
      <c r="L40" s="23">
        <f t="shared" si="9"/>
        <v>783921654</v>
      </c>
      <c r="M40" s="25">
        <f t="shared" si="12"/>
        <v>0.17647844264192084</v>
      </c>
      <c r="N40" s="23">
        <f t="shared" si="10"/>
        <v>4143468950</v>
      </c>
      <c r="O40" s="25">
        <f t="shared" si="11"/>
        <v>0.93278830059101159</v>
      </c>
    </row>
    <row r="41" spans="1:15" s="18" customFormat="1" ht="15.75" x14ac:dyDescent="0.25">
      <c r="A41" s="26" t="s">
        <v>23</v>
      </c>
      <c r="B41" s="27">
        <f>B8+B28</f>
        <v>247692518403</v>
      </c>
      <c r="C41" s="27">
        <f>C8+C28</f>
        <v>247692518403</v>
      </c>
      <c r="D41" s="27">
        <f>D8+D28</f>
        <v>143325783446.26001</v>
      </c>
      <c r="E41" s="17">
        <f t="shared" si="5"/>
        <v>0.57864397507988707</v>
      </c>
      <c r="F41" s="27">
        <f>F8+F28</f>
        <v>27010232076.989998</v>
      </c>
      <c r="G41" s="17">
        <f t="shared" si="6"/>
        <v>0.10904742804158454</v>
      </c>
      <c r="H41" s="27">
        <f>H8+H28</f>
        <v>214508402318.48001</v>
      </c>
      <c r="I41" s="27">
        <f>I8+I28</f>
        <v>27009810932.989998</v>
      </c>
      <c r="J41" s="27">
        <f>J8+J28</f>
        <v>33184116084.52</v>
      </c>
      <c r="K41" s="17">
        <f t="shared" si="8"/>
        <v>0.13397302550143589</v>
      </c>
      <c r="L41" s="27">
        <f>L8+L28</f>
        <v>104366734956.73999</v>
      </c>
      <c r="M41" s="17">
        <f t="shared" si="12"/>
        <v>0.42135602492011287</v>
      </c>
      <c r="N41" s="27">
        <f>N8+N28</f>
        <v>220682286326.01001</v>
      </c>
      <c r="O41" s="17">
        <f t="shared" si="11"/>
        <v>0.89095257195841548</v>
      </c>
    </row>
    <row r="42" spans="1:15" s="28" customFormat="1" x14ac:dyDescent="0.25">
      <c r="B42" s="29">
        <f>B41-[2]REP_EPG034_EjecucionPresupuesta!P32</f>
        <v>107197635403</v>
      </c>
      <c r="C42" s="30">
        <f>C41-[2]REP_EPG034_EjecucionPresupuesta!S32</f>
        <v>107197635403</v>
      </c>
      <c r="D42" s="30">
        <f>D41-[2]REP_EPG034_EjecucionPresupuesta!W32</f>
        <v>90642068251.710007</v>
      </c>
      <c r="E42" s="31">
        <f>D41/C41</f>
        <v>0.57864397507988707</v>
      </c>
      <c r="F42" s="29">
        <f>F41-[2]REP_EPG034_EjecucionPresupuesta!X32</f>
        <v>22088981837.789997</v>
      </c>
      <c r="G42" s="31">
        <f>F41/C41</f>
        <v>0.10904742804158454</v>
      </c>
      <c r="H42" s="29">
        <f>H41-[2]REP_EPG034_EjecucionPresupuesta!U32</f>
        <v>105496848884.40001</v>
      </c>
      <c r="I42" s="29">
        <f>I41-[2]REP_EPG034_EjecucionPresupuesta!Z32</f>
        <v>22737437891.529999</v>
      </c>
      <c r="J42" s="29">
        <f>C41-(H41+J41)</f>
        <v>0</v>
      </c>
      <c r="K42" s="31">
        <f>J41/C41</f>
        <v>0.13397302550143589</v>
      </c>
      <c r="L42" s="29">
        <f>C41-(D41+L41)</f>
        <v>0</v>
      </c>
      <c r="M42" s="32">
        <f>L41/C41</f>
        <v>0.42135602492011287</v>
      </c>
      <c r="N42" s="29">
        <f>C41-(F41+N41)</f>
        <v>0</v>
      </c>
      <c r="O42" s="31">
        <f>N41/C41</f>
        <v>0.89095257195841548</v>
      </c>
    </row>
    <row r="43" spans="1:15" x14ac:dyDescent="0.25">
      <c r="C43" s="33"/>
      <c r="F43" s="34"/>
    </row>
    <row r="45" spans="1:15" x14ac:dyDescent="0.25">
      <c r="C45" s="33"/>
    </row>
  </sheetData>
  <sheetProtection password="C11F" sheet="1" objects="1" scenarios="1"/>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A1:M72"/>
  <sheetViews>
    <sheetView zoomScale="120" zoomScaleNormal="120" workbookViewId="0">
      <selection sqref="A1:XFD1048576"/>
    </sheetView>
  </sheetViews>
  <sheetFormatPr baseColWidth="10" defaultRowHeight="15" x14ac:dyDescent="0.25"/>
  <cols>
    <col min="1" max="1" width="11.42578125" style="37"/>
    <col min="2" max="2" width="24.85546875" style="38" bestFit="1" customWidth="1"/>
    <col min="3" max="9" width="20.140625" style="38" customWidth="1"/>
    <col min="10" max="10" width="18" style="37" bestFit="1" customWidth="1"/>
    <col min="11" max="11" width="17.5703125" style="37" bestFit="1" customWidth="1"/>
    <col min="12" max="12" width="17.85546875" style="37" bestFit="1" customWidth="1"/>
    <col min="13" max="13" width="11.42578125" style="37"/>
    <col min="14" max="16384" width="11.42578125" style="38"/>
  </cols>
  <sheetData>
    <row r="1" spans="1:13" s="37" customFormat="1" ht="20.25" x14ac:dyDescent="0.25">
      <c r="B1" s="1"/>
      <c r="D1" s="2" t="s">
        <v>0</v>
      </c>
    </row>
    <row r="2" spans="1:13" s="37" customFormat="1" x14ac:dyDescent="0.25">
      <c r="B2" s="1"/>
      <c r="D2" s="1"/>
    </row>
    <row r="3" spans="1:13" s="37" customFormat="1" x14ac:dyDescent="0.25">
      <c r="B3" s="1"/>
      <c r="D3" s="6" t="s">
        <v>24</v>
      </c>
    </row>
    <row r="4" spans="1:13" s="37" customFormat="1" x14ac:dyDescent="0.25">
      <c r="B4" s="1"/>
      <c r="D4" s="7" t="s">
        <v>25</v>
      </c>
    </row>
    <row r="5" spans="1:13" s="37" customFormat="1" x14ac:dyDescent="0.25">
      <c r="B5" s="38"/>
      <c r="D5" s="6" t="s">
        <v>2</v>
      </c>
    </row>
    <row r="6" spans="1:13" s="37" customFormat="1" x14ac:dyDescent="0.25">
      <c r="B6" s="1"/>
      <c r="D6" s="8"/>
    </row>
    <row r="7" spans="1:13" s="37" customFormat="1" x14ac:dyDescent="0.25"/>
    <row r="8" spans="1:13" x14ac:dyDescent="0.25">
      <c r="B8" s="77" t="s">
        <v>26</v>
      </c>
      <c r="C8" s="77"/>
      <c r="D8" s="77"/>
      <c r="E8" s="77"/>
      <c r="F8" s="77"/>
      <c r="G8" s="77"/>
      <c r="H8" s="77"/>
      <c r="I8" s="77"/>
    </row>
    <row r="9" spans="1:13" ht="15.75" customHeight="1" thickBot="1" x14ac:dyDescent="0.3">
      <c r="B9" s="77"/>
      <c r="C9" s="77"/>
      <c r="D9" s="77"/>
      <c r="E9" s="77"/>
      <c r="F9" s="77"/>
      <c r="G9" s="77"/>
      <c r="H9" s="77"/>
      <c r="I9" s="77"/>
      <c r="J9" s="39"/>
    </row>
    <row r="10" spans="1:13" s="41" customFormat="1" ht="17.25" thickBot="1" x14ac:dyDescent="0.35">
      <c r="A10" s="40"/>
      <c r="B10" s="40"/>
      <c r="C10" s="40"/>
      <c r="D10" s="40"/>
      <c r="E10" s="78" t="s">
        <v>27</v>
      </c>
      <c r="F10" s="79"/>
      <c r="G10" s="80" t="s">
        <v>28</v>
      </c>
      <c r="H10" s="81"/>
      <c r="I10" s="82" t="s">
        <v>29</v>
      </c>
      <c r="J10" s="40"/>
      <c r="K10" s="40"/>
      <c r="L10" s="40"/>
      <c r="M10" s="40"/>
    </row>
    <row r="11" spans="1:13" s="41" customFormat="1" ht="17.25" thickBot="1" x14ac:dyDescent="0.35">
      <c r="A11" s="40"/>
      <c r="B11" s="42" t="s">
        <v>3</v>
      </c>
      <c r="C11" s="42" t="s">
        <v>30</v>
      </c>
      <c r="D11" s="42" t="s">
        <v>31</v>
      </c>
      <c r="E11" s="43" t="s">
        <v>32</v>
      </c>
      <c r="F11" s="43" t="s">
        <v>33</v>
      </c>
      <c r="G11" s="44" t="s">
        <v>32</v>
      </c>
      <c r="H11" s="45" t="s">
        <v>33</v>
      </c>
      <c r="I11" s="83"/>
      <c r="J11" s="46" t="s">
        <v>34</v>
      </c>
      <c r="K11" s="40"/>
      <c r="L11" s="40"/>
      <c r="M11" s="40"/>
    </row>
    <row r="12" spans="1:13" s="41" customFormat="1" ht="16.5" x14ac:dyDescent="0.3">
      <c r="A12" s="40"/>
      <c r="B12" s="47" t="s">
        <v>18</v>
      </c>
      <c r="C12" s="48">
        <f>SUM(C13:C15)</f>
        <v>83960832908</v>
      </c>
      <c r="D12" s="48">
        <f>SUM(D13:D15)</f>
        <v>83960832908</v>
      </c>
      <c r="E12" s="48">
        <f>SUM(E13:E15)</f>
        <v>19953771814.48</v>
      </c>
      <c r="F12" s="49">
        <f>E12/D12</f>
        <v>0.23765571544942063</v>
      </c>
      <c r="G12" s="93">
        <f>+H12*D12</f>
        <v>22014903872.639999</v>
      </c>
      <c r="H12" s="87">
        <f>+'[1]METAS EJEC. SIC - MINCIT'!D5</f>
        <v>0.26220444831416584</v>
      </c>
      <c r="I12" s="90">
        <f>+IF(OR(F12/H12&gt;100%,F12/H12=100%),"CUMPLIDO",F12/H12)</f>
        <v>0.90637560490456814</v>
      </c>
      <c r="J12" s="74">
        <f>IF(+G12-E12&gt;0,G12-E12,"CUMPLIDO")</f>
        <v>2061132058.1599998</v>
      </c>
      <c r="K12" s="40"/>
      <c r="L12" s="40"/>
      <c r="M12" s="40"/>
    </row>
    <row r="13" spans="1:13" s="41" customFormat="1" ht="16.5" x14ac:dyDescent="0.3">
      <c r="A13" s="40"/>
      <c r="B13" s="50" t="s">
        <v>19</v>
      </c>
      <c r="C13" s="51">
        <f>+GETPIVOTDATA("Suma de APR. INICIAL",'[1]TD-EPA'!$A$3,"TIPO","A","CTA","01")</f>
        <v>61891218000</v>
      </c>
      <c r="D13" s="51">
        <f>+GETPIVOTDATA("Suma de APR. VIGENTE",'[1]TD-EPA'!$A$3,"TIPO","A","CTA","01")</f>
        <v>61891218000</v>
      </c>
      <c r="E13" s="51">
        <f>+GETPIVOTDATA("Suma de COMPROMISO",'[1]TD-EPA'!$A$3,"TIPO","A","CTA","01")</f>
        <v>12292842264</v>
      </c>
      <c r="F13" s="52">
        <f t="shared" ref="F13:F17" si="0">E13/D13</f>
        <v>0.19862013806223688</v>
      </c>
      <c r="G13" s="94"/>
      <c r="H13" s="88"/>
      <c r="I13" s="91"/>
      <c r="J13" s="75"/>
      <c r="K13" s="53"/>
      <c r="L13" s="40"/>
      <c r="M13" s="40"/>
    </row>
    <row r="14" spans="1:13" s="41" customFormat="1" ht="16.5" x14ac:dyDescent="0.3">
      <c r="A14" s="40"/>
      <c r="B14" s="50" t="s">
        <v>20</v>
      </c>
      <c r="C14" s="51">
        <f>+GETPIVOTDATA("Suma de APR. INICIAL",'[1]TD-EPA'!$A$3,"TIPO","A","CTA","02")</f>
        <v>13056620000</v>
      </c>
      <c r="D14" s="51">
        <f>+GETPIVOTDATA("Suma de APR. VIGENTE",'[1]TD-EPA'!$A$3,"TIPO","A","CTA","02")</f>
        <v>13056620000</v>
      </c>
      <c r="E14" s="51">
        <f>+GETPIVOTDATA("Suma de COMPROMISO",'[1]TD-EPA'!$A$3,"TIPO","A","CTA","02")</f>
        <v>7090788372.8000002</v>
      </c>
      <c r="F14" s="52">
        <f t="shared" si="0"/>
        <v>0.54307993744169625</v>
      </c>
      <c r="G14" s="94"/>
      <c r="H14" s="88"/>
      <c r="I14" s="91"/>
      <c r="J14" s="75"/>
      <c r="K14" s="53"/>
      <c r="L14" s="40"/>
      <c r="M14" s="40"/>
    </row>
    <row r="15" spans="1:13" s="41" customFormat="1" ht="17.25" thickBot="1" x14ac:dyDescent="0.35">
      <c r="A15" s="40"/>
      <c r="B15" s="54" t="s">
        <v>21</v>
      </c>
      <c r="C15" s="55">
        <f>+GETPIVOTDATA("Suma de APR. INICIAL",'[1]TD-EPA'!$A$3,"TIPO","A","CTA","03")+GETPIVOTDATA("Suma de APR. INICIAL",'[1]TD-EPA'!$A$3,"TIPO","A","CTA","08")</f>
        <v>9012994908</v>
      </c>
      <c r="D15" s="55">
        <f>+GETPIVOTDATA("Suma de APR. VIGENTE",'[1]TD-EPA'!$A$3,"TIPO","A","CTA","03")+GETPIVOTDATA("Suma de APR. VIGENTE",'[1]TD-EPA'!$A$3,"TIPO","A","CTA","08")</f>
        <v>9012994908</v>
      </c>
      <c r="E15" s="55">
        <f>+GETPIVOTDATA("Suma de COMPROMISO",'[1]TD-EPA'!$A$3,"TIPO","A","CTA","03")</f>
        <v>570141177.68000007</v>
      </c>
      <c r="F15" s="56">
        <f t="shared" si="0"/>
        <v>6.3257683322769723E-2</v>
      </c>
      <c r="G15" s="95"/>
      <c r="H15" s="89"/>
      <c r="I15" s="92"/>
      <c r="J15" s="76"/>
      <c r="K15" s="40"/>
      <c r="L15" s="40"/>
      <c r="M15" s="40"/>
    </row>
    <row r="16" spans="1:13" s="41" customFormat="1" ht="17.25" thickBot="1" x14ac:dyDescent="0.35">
      <c r="A16" s="40"/>
      <c r="B16" s="57" t="s">
        <v>35</v>
      </c>
      <c r="C16" s="58">
        <f>+GETPIVOTDATA("Suma de APR. INICIAL",'[1]TD-EPA'!$A$3,"TIPO","C")</f>
        <v>163731685495</v>
      </c>
      <c r="D16" s="58">
        <f>+GETPIVOTDATA("Suma de APR. VIGENTE",'[1]TD-EPA'!$A$3,"TIPO","C")</f>
        <v>163731685495</v>
      </c>
      <c r="E16" s="58">
        <f>+GETPIVOTDATA("Suma de COMPROMISO",'[1]TD-EPA'!$A$3,"TIPO","C")</f>
        <v>123372011631.78</v>
      </c>
      <c r="F16" s="59">
        <f>E16/D16</f>
        <v>0.75350113973845034</v>
      </c>
      <c r="G16" s="58">
        <f>+H16*D16</f>
        <v>145132832622</v>
      </c>
      <c r="H16" s="59">
        <f>+'[1]METAS EJEC. SIC - MINCIT'!D8</f>
        <v>0.88640651431168482</v>
      </c>
      <c r="I16" s="60">
        <f>+IF(OR(F16/H16&gt;100%,F16/H16=100%),"CUMPLIDO",F16/H16)</f>
        <v>0.85006272807410654</v>
      </c>
      <c r="J16" s="61">
        <f>IF(+G16-E16&gt;0,G16-E16,"CUMPLIDO")</f>
        <v>21760820990.220001</v>
      </c>
      <c r="K16" s="40"/>
      <c r="L16" s="40"/>
      <c r="M16" s="40"/>
    </row>
    <row r="17" spans="1:13" s="41" customFormat="1" ht="17.25" thickBot="1" x14ac:dyDescent="0.35">
      <c r="A17" s="40"/>
      <c r="B17" s="62" t="s">
        <v>23</v>
      </c>
      <c r="C17" s="63">
        <f>C12+C16</f>
        <v>247692518403</v>
      </c>
      <c r="D17" s="63">
        <f>D12+D16</f>
        <v>247692518403</v>
      </c>
      <c r="E17" s="64">
        <f>E12+E16</f>
        <v>143325783446.26001</v>
      </c>
      <c r="F17" s="65">
        <f t="shared" si="0"/>
        <v>0.57864397507988707</v>
      </c>
      <c r="G17" s="66">
        <f>+G12+G16</f>
        <v>167147736494.64001</v>
      </c>
      <c r="H17" s="67">
        <f>+'[1]METAS EJEC. SIC - MINCIT'!D11</f>
        <v>0.67481948010511872</v>
      </c>
      <c r="I17" s="68">
        <f>+IF(OR(F17/H17&gt;100%,F17/H17=100%),"CUMPLIDO",F17/H17)</f>
        <v>0.8574796551364372</v>
      </c>
      <c r="J17" s="69">
        <f>IF(+G17-E17&gt;0,G17-E17,"CUMPLIDO")</f>
        <v>23821953048.380005</v>
      </c>
      <c r="K17" s="53"/>
      <c r="L17" s="40"/>
      <c r="M17" s="40"/>
    </row>
    <row r="18" spans="1:13" s="37" customFormat="1" x14ac:dyDescent="0.25">
      <c r="G18" s="70"/>
      <c r="I18" s="71"/>
    </row>
    <row r="19" spans="1:13" ht="15" customHeight="1" x14ac:dyDescent="0.25">
      <c r="B19" s="77" t="s">
        <v>36</v>
      </c>
      <c r="C19" s="77"/>
      <c r="D19" s="77"/>
      <c r="E19" s="77"/>
      <c r="F19" s="77"/>
      <c r="G19" s="77"/>
      <c r="H19" s="77"/>
      <c r="I19" s="77"/>
      <c r="K19" s="72"/>
    </row>
    <row r="20" spans="1:13" ht="15.75" customHeight="1" thickBot="1" x14ac:dyDescent="0.3">
      <c r="B20" s="77"/>
      <c r="C20" s="77"/>
      <c r="D20" s="77"/>
      <c r="E20" s="77"/>
      <c r="F20" s="77"/>
      <c r="G20" s="77"/>
      <c r="H20" s="77"/>
      <c r="I20" s="77"/>
      <c r="K20" s="71"/>
      <c r="L20" s="72"/>
    </row>
    <row r="21" spans="1:13" ht="17.25" thickBot="1" x14ac:dyDescent="0.35">
      <c r="B21" s="40"/>
      <c r="C21" s="40"/>
      <c r="D21" s="40"/>
      <c r="E21" s="78" t="s">
        <v>27</v>
      </c>
      <c r="F21" s="79"/>
      <c r="G21" s="80" t="s">
        <v>28</v>
      </c>
      <c r="H21" s="81"/>
      <c r="I21" s="82" t="s">
        <v>29</v>
      </c>
      <c r="L21" s="72"/>
    </row>
    <row r="22" spans="1:13" ht="17.25" thickBot="1" x14ac:dyDescent="0.3">
      <c r="B22" s="42" t="s">
        <v>3</v>
      </c>
      <c r="C22" s="42" t="s">
        <v>30</v>
      </c>
      <c r="D22" s="42" t="s">
        <v>31</v>
      </c>
      <c r="E22" s="43" t="s">
        <v>32</v>
      </c>
      <c r="F22" s="43" t="s">
        <v>33</v>
      </c>
      <c r="G22" s="44" t="s">
        <v>32</v>
      </c>
      <c r="H22" s="45" t="s">
        <v>33</v>
      </c>
      <c r="I22" s="83"/>
      <c r="J22" s="46" t="s">
        <v>34</v>
      </c>
      <c r="L22" s="72"/>
    </row>
    <row r="23" spans="1:13" ht="16.5" x14ac:dyDescent="0.3">
      <c r="B23" s="47" t="s">
        <v>18</v>
      </c>
      <c r="C23" s="48">
        <f>SUM(C24:C26)</f>
        <v>83960832908</v>
      </c>
      <c r="D23" s="48">
        <f>SUM(D24:D26)</f>
        <v>83960832908</v>
      </c>
      <c r="E23" s="48">
        <f>SUM(E24:E26)</f>
        <v>15512991526.440001</v>
      </c>
      <c r="F23" s="49">
        <f>E23/D23</f>
        <v>0.18476462165922466</v>
      </c>
      <c r="G23" s="84">
        <f>+H23*D23</f>
        <v>14833762872.639999</v>
      </c>
      <c r="H23" s="87">
        <f>+'[1]METAS EJEC. SIC - MINCIT'!P5</f>
        <v>0.17667479417330317</v>
      </c>
      <c r="I23" s="90" t="str">
        <f>+IF(OR(F23/H23&gt;100%,F23/H23=100%),"CUMPLIDO",F23/H23)</f>
        <v>CUMPLIDO</v>
      </c>
      <c r="J23" s="74" t="str">
        <f>IF(+G23-E23&gt;0,G23-E23,"CUMPLIDO")</f>
        <v>CUMPLIDO</v>
      </c>
      <c r="K23" s="39"/>
    </row>
    <row r="24" spans="1:13" ht="16.5" x14ac:dyDescent="0.3">
      <c r="B24" s="50" t="s">
        <v>19</v>
      </c>
      <c r="C24" s="51">
        <f>+GETPIVOTDATA("Suma de APR. INICIAL",'[1]TD-EPA'!$A$3,"TIPO","A","CTA","01")</f>
        <v>61891218000</v>
      </c>
      <c r="D24" s="51">
        <f>+GETPIVOTDATA("Suma de APR. VIGENTE",'[1]TD-EPA'!$A$3,"TIPO","A","CTA","01")</f>
        <v>61891218000</v>
      </c>
      <c r="E24" s="51">
        <f>+GETPIVOTDATA("Suma de OBLIGACION",'[1]TD-EPA'!$A$3,"TIPO","A","CTA","01")</f>
        <v>12241266901</v>
      </c>
      <c r="F24" s="52">
        <f t="shared" ref="F24:F28" si="1">E24/D24</f>
        <v>0.19778681526351607</v>
      </c>
      <c r="G24" s="85"/>
      <c r="H24" s="88"/>
      <c r="I24" s="91"/>
      <c r="J24" s="75"/>
    </row>
    <row r="25" spans="1:13" ht="16.5" x14ac:dyDescent="0.3">
      <c r="B25" s="50" t="s">
        <v>20</v>
      </c>
      <c r="C25" s="51">
        <f>+GETPIVOTDATA("Suma de APR. INICIAL",'[1]TD-EPA'!$A$3,"TIPO","A","CTA","02")</f>
        <v>13056620000</v>
      </c>
      <c r="D25" s="51">
        <f>+GETPIVOTDATA("Suma de APR. VIGENTE",'[1]TD-EPA'!$A$3,"TIPO","A","CTA","02")</f>
        <v>13056620000</v>
      </c>
      <c r="E25" s="51">
        <f>+GETPIVOTDATA("Suma de OBLIGACION",'[1]TD-EPA'!$A$3,"TIPO","A","CTA","02")</f>
        <v>2794566664.7600002</v>
      </c>
      <c r="F25" s="52">
        <f t="shared" si="1"/>
        <v>0.21403446410786253</v>
      </c>
      <c r="G25" s="85"/>
      <c r="H25" s="88"/>
      <c r="I25" s="91"/>
      <c r="J25" s="75"/>
    </row>
    <row r="26" spans="1:13" ht="17.25" thickBot="1" x14ac:dyDescent="0.35">
      <c r="B26" s="54" t="s">
        <v>21</v>
      </c>
      <c r="C26" s="55">
        <f>+GETPIVOTDATA("Suma de APR. INICIAL",'[1]TD-EPA'!$A$3,"TIPO","A","CTA","03")+GETPIVOTDATA("Suma de APR. INICIAL",'[1]TD-EPA'!$A$3,"TIPO","A","CTA","08")</f>
        <v>9012994908</v>
      </c>
      <c r="D26" s="55">
        <f>+GETPIVOTDATA("Suma de APR. VIGENTE",'[1]TD-EPA'!$A$3,"TIPO","A","CTA","03")+GETPIVOTDATA("Suma de APR. VIGENTE",'[1]TD-EPA'!$A$3,"TIPO","A","CTA","08")</f>
        <v>9012994908</v>
      </c>
      <c r="E26" s="55">
        <f>+GETPIVOTDATA("Suma de OBLIGACION",'[1]TD-EPA'!$A$3,"TIPO","A","CTA","03")</f>
        <v>477157960.68000001</v>
      </c>
      <c r="F26" s="56">
        <f t="shared" si="1"/>
        <v>5.2941110646414671E-2</v>
      </c>
      <c r="G26" s="86"/>
      <c r="H26" s="89"/>
      <c r="I26" s="92"/>
      <c r="J26" s="76"/>
    </row>
    <row r="27" spans="1:13" ht="17.25" thickBot="1" x14ac:dyDescent="0.35">
      <c r="B27" s="57" t="s">
        <v>35</v>
      </c>
      <c r="C27" s="58">
        <f>+GETPIVOTDATA("Suma de APR. INICIAL",'[1]TD-EPA'!$A$3,"TIPO","C")</f>
        <v>163731685495</v>
      </c>
      <c r="D27" s="58">
        <f>+GETPIVOTDATA("Suma de APR. VIGENTE",'[1]TD-EPA'!$A$3,"TIPO","C")</f>
        <v>163731685495</v>
      </c>
      <c r="E27" s="58">
        <f>+GETPIVOTDATA("Suma de OBLIGACION",'[1]TD-EPA'!$A$3,"TIPO","C")</f>
        <v>11497240550.549999</v>
      </c>
      <c r="F27" s="59">
        <f t="shared" si="1"/>
        <v>7.0220009742103948E-2</v>
      </c>
      <c r="G27" s="58">
        <f>+H27*D27</f>
        <v>18785787204</v>
      </c>
      <c r="H27" s="59">
        <f>+'[1]METAS EJEC. SIC - MINCIT'!P8</f>
        <v>0.11473519708299636</v>
      </c>
      <c r="I27" s="60">
        <f>+IF(OR(F27/H27&gt;100%,F27/H27=100%),"CUMPLIDO",F27/H27)</f>
        <v>0.61201803393695031</v>
      </c>
      <c r="J27" s="61">
        <f>IF(+G27-E27&gt;0,G27-E27,"CUMPLIDO")</f>
        <v>7288546653.4500008</v>
      </c>
      <c r="K27" s="71"/>
    </row>
    <row r="28" spans="1:13" ht="17.25" thickBot="1" x14ac:dyDescent="0.35">
      <c r="B28" s="62" t="s">
        <v>23</v>
      </c>
      <c r="C28" s="63">
        <f>C23+C27</f>
        <v>247692518403</v>
      </c>
      <c r="D28" s="63">
        <f>D23+D27</f>
        <v>247692518403</v>
      </c>
      <c r="E28" s="64">
        <f>E23+E27</f>
        <v>27010232076.989998</v>
      </c>
      <c r="F28" s="65">
        <f t="shared" si="1"/>
        <v>0.10904742804158454</v>
      </c>
      <c r="G28" s="66">
        <f>+G23+G27</f>
        <v>33619550076.639999</v>
      </c>
      <c r="H28" s="67">
        <f>+'[1]METAS EJEC. SIC - MINCIT'!P11</f>
        <v>0.13573098732816957</v>
      </c>
      <c r="I28" s="68">
        <f>+IF(OR(F28/H28&gt;100%,F28/H28=100%),"CUMPLIDO",F28/H28)</f>
        <v>0.80340849343363518</v>
      </c>
      <c r="J28" s="69">
        <f>IF(+G28-E28&gt;0,G28-E28,"CUMPLIDO")</f>
        <v>6609317999.6500015</v>
      </c>
      <c r="K28" s="71"/>
    </row>
    <row r="29" spans="1:13" s="37" customFormat="1" x14ac:dyDescent="0.25">
      <c r="I29" s="73"/>
    </row>
    <row r="30" spans="1:13" s="37" customFormat="1" x14ac:dyDescent="0.25">
      <c r="G30" s="72"/>
    </row>
    <row r="31" spans="1:13" s="37" customFormat="1" x14ac:dyDescent="0.25"/>
    <row r="32" spans="1:13" s="37" customFormat="1" x14ac:dyDescent="0.25"/>
    <row r="33" s="37" customFormat="1" x14ac:dyDescent="0.25"/>
    <row r="34" s="37" customFormat="1" x14ac:dyDescent="0.25"/>
    <row r="35" s="37" customFormat="1" x14ac:dyDescent="0.25"/>
    <row r="36" s="37" customFormat="1" x14ac:dyDescent="0.25"/>
    <row r="37" s="37" customFormat="1" x14ac:dyDescent="0.25"/>
    <row r="38" s="37" customFormat="1" x14ac:dyDescent="0.25"/>
    <row r="39" s="37" customFormat="1" x14ac:dyDescent="0.25"/>
    <row r="40" s="37" customFormat="1" x14ac:dyDescent="0.25"/>
    <row r="41" s="37" customFormat="1" x14ac:dyDescent="0.25"/>
    <row r="42" s="37" customFormat="1" x14ac:dyDescent="0.25"/>
    <row r="43" s="37" customFormat="1" x14ac:dyDescent="0.25"/>
    <row r="44" s="37" customFormat="1" x14ac:dyDescent="0.25"/>
    <row r="45" s="37" customFormat="1" x14ac:dyDescent="0.25"/>
    <row r="46" s="37" customFormat="1" x14ac:dyDescent="0.25"/>
    <row r="47" s="37" customFormat="1" x14ac:dyDescent="0.25"/>
    <row r="48" s="37" customFormat="1" x14ac:dyDescent="0.25"/>
    <row r="49" s="37" customFormat="1" x14ac:dyDescent="0.25"/>
    <row r="50" s="37" customFormat="1" x14ac:dyDescent="0.25"/>
    <row r="51" s="37" customFormat="1" x14ac:dyDescent="0.25"/>
    <row r="52" s="37" customFormat="1" x14ac:dyDescent="0.25"/>
    <row r="53" s="37" customFormat="1" x14ac:dyDescent="0.25"/>
    <row r="54" s="37" customFormat="1" x14ac:dyDescent="0.25"/>
    <row r="55" s="37" customFormat="1" x14ac:dyDescent="0.25"/>
    <row r="56" s="37" customFormat="1" x14ac:dyDescent="0.25"/>
    <row r="57" s="37" customFormat="1" x14ac:dyDescent="0.25"/>
    <row r="58" s="37" customFormat="1" x14ac:dyDescent="0.25"/>
    <row r="59" s="37" customFormat="1" x14ac:dyDescent="0.25"/>
    <row r="60" s="37" customFormat="1" x14ac:dyDescent="0.25"/>
    <row r="61" s="37" customFormat="1" x14ac:dyDescent="0.25"/>
    <row r="62" s="37" customFormat="1" x14ac:dyDescent="0.25"/>
    <row r="63" s="37" customFormat="1" x14ac:dyDescent="0.25"/>
    <row r="64" s="37" customFormat="1" x14ac:dyDescent="0.25"/>
    <row r="65" s="37" customFormat="1" x14ac:dyDescent="0.25"/>
    <row r="66" s="37" customFormat="1" x14ac:dyDescent="0.25"/>
    <row r="67" s="37" customFormat="1" x14ac:dyDescent="0.25"/>
    <row r="68" s="37" customFormat="1" x14ac:dyDescent="0.25"/>
    <row r="69" s="37" customFormat="1" x14ac:dyDescent="0.25"/>
    <row r="70" s="37" customFormat="1" x14ac:dyDescent="0.25"/>
    <row r="71" s="37" customFormat="1" x14ac:dyDescent="0.25"/>
    <row r="72" s="37" customFormat="1" x14ac:dyDescent="0.25"/>
  </sheetData>
  <sheetProtection password="C11F" sheet="1" objects="1" scenarios="1"/>
  <mergeCells count="16">
    <mergeCell ref="G23:G26"/>
    <mergeCell ref="H23:H26"/>
    <mergeCell ref="I23:I26"/>
    <mergeCell ref="J23:J26"/>
    <mergeCell ref="B8:I9"/>
    <mergeCell ref="E10:F10"/>
    <mergeCell ref="G10:H10"/>
    <mergeCell ref="I10:I11"/>
    <mergeCell ref="G12:G15"/>
    <mergeCell ref="H12:H15"/>
    <mergeCell ref="I12:I15"/>
    <mergeCell ref="J12:J15"/>
    <mergeCell ref="B19:I20"/>
    <mergeCell ref="E21:F21"/>
    <mergeCell ref="G21:H21"/>
    <mergeCell ref="I21:I22"/>
  </mergeCells>
  <conditionalFormatting sqref="I12:I17 I23:I28">
    <cfRule type="cellIs" dxfId="15" priority="13" operator="equal">
      <formula>"CUMPLIDO"</formula>
    </cfRule>
    <cfRule type="cellIs" dxfId="14" priority="14" operator="between">
      <formula>0.95</formula>
      <formula>1</formula>
    </cfRule>
    <cfRule type="cellIs" dxfId="13" priority="15" operator="between">
      <formula>0.85</formula>
      <formula>0.95</formula>
    </cfRule>
    <cfRule type="cellIs" dxfId="12" priority="16" operator="lessThan">
      <formula>0.85</formula>
    </cfRule>
  </conditionalFormatting>
  <conditionalFormatting sqref="J12:J17">
    <cfRule type="cellIs" dxfId="11" priority="9" operator="equal">
      <formula>"CUMPLIDO"</formula>
    </cfRule>
    <cfRule type="cellIs" dxfId="10" priority="10" operator="between">
      <formula>0.95</formula>
      <formula>1</formula>
    </cfRule>
    <cfRule type="cellIs" dxfId="9" priority="11" operator="between">
      <formula>0.85</formula>
      <formula>0.95</formula>
    </cfRule>
    <cfRule type="cellIs" dxfId="8" priority="12" operator="lessThan">
      <formula>0.85</formula>
    </cfRule>
  </conditionalFormatting>
  <conditionalFormatting sqref="J27:J28">
    <cfRule type="cellIs" dxfId="7" priority="5" operator="equal">
      <formula>"CUMPLIDO"</formula>
    </cfRule>
    <cfRule type="cellIs" dxfId="6" priority="6" operator="between">
      <formula>0.95</formula>
      <formula>1</formula>
    </cfRule>
    <cfRule type="cellIs" dxfId="5" priority="7" operator="between">
      <formula>0.85</formula>
      <formula>0.95</formula>
    </cfRule>
    <cfRule type="cellIs" dxfId="4" priority="8" operator="lessThan">
      <formula>0.85</formula>
    </cfRule>
  </conditionalFormatting>
  <conditionalFormatting sqref="J23:J26">
    <cfRule type="cellIs" dxfId="3" priority="1" operator="equal">
      <formula>"CUMPLIDO"</formula>
    </cfRule>
    <cfRule type="cellIs" dxfId="2" priority="2" operator="between">
      <formula>0.95</formula>
      <formula>1</formula>
    </cfRule>
    <cfRule type="cellIs" dxfId="1" priority="3" operator="between">
      <formula>0.85</formula>
      <formula>0.95</formula>
    </cfRule>
    <cfRule type="cellIs" dxfId="0" priority="4" operator="lessThan">
      <formula>0.85</formula>
    </cfRule>
  </conditionalFormatting>
  <pageMargins left="0.7" right="0.7" top="0.75" bottom="0.75" header="0.3" footer="0.3"/>
  <pageSetup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EJECUCIÓN WEB</vt:lpstr>
      <vt:lpstr>METAS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Lorena Steffania Barrero Quiñonez</dc:creator>
  <cp:lastModifiedBy>Maria Alejandra Rodriguez Briceño</cp:lastModifiedBy>
  <dcterms:created xsi:type="dcterms:W3CDTF">2020-04-09T06:28:29Z</dcterms:created>
  <dcterms:modified xsi:type="dcterms:W3CDTF">2020-04-14T16:47:10Z</dcterms:modified>
</cp:coreProperties>
</file>