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21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D38" i="1"/>
  <c r="E38" i="1" s="1"/>
  <c r="C38" i="1"/>
  <c r="B38" i="1"/>
  <c r="I37" i="1"/>
  <c r="H37" i="1"/>
  <c r="F37" i="1"/>
  <c r="G37" i="1" s="1"/>
  <c r="D37" i="1"/>
  <c r="C37" i="1"/>
  <c r="L37" i="1" s="1"/>
  <c r="M37" i="1" s="1"/>
  <c r="B37" i="1"/>
  <c r="L36" i="1"/>
  <c r="M36" i="1" s="1"/>
  <c r="I36" i="1"/>
  <c r="H36" i="1"/>
  <c r="F36" i="1"/>
  <c r="G36" i="1" s="1"/>
  <c r="E36" i="1"/>
  <c r="D36" i="1"/>
  <c r="C36" i="1"/>
  <c r="B36" i="1"/>
  <c r="I35" i="1"/>
  <c r="H35" i="1"/>
  <c r="F35" i="1"/>
  <c r="G35" i="1" s="1"/>
  <c r="D35" i="1"/>
  <c r="E35" i="1" s="1"/>
  <c r="C35" i="1"/>
  <c r="B35" i="1"/>
  <c r="I34" i="1"/>
  <c r="H34" i="1"/>
  <c r="F34" i="1"/>
  <c r="G34" i="1" s="1"/>
  <c r="D34" i="1"/>
  <c r="L34" i="1" s="1"/>
  <c r="M34" i="1" s="1"/>
  <c r="C34" i="1"/>
  <c r="B34" i="1"/>
  <c r="I33" i="1"/>
  <c r="H33" i="1"/>
  <c r="F33" i="1"/>
  <c r="G33" i="1" s="1"/>
  <c r="D33" i="1"/>
  <c r="C33" i="1"/>
  <c r="L33" i="1" s="1"/>
  <c r="M33" i="1" s="1"/>
  <c r="B33" i="1"/>
  <c r="I32" i="1"/>
  <c r="H32" i="1"/>
  <c r="F32" i="1"/>
  <c r="D32" i="1"/>
  <c r="E32" i="1" s="1"/>
  <c r="C32" i="1"/>
  <c r="L32" i="1" s="1"/>
  <c r="M32" i="1" s="1"/>
  <c r="B32" i="1"/>
  <c r="I31" i="1"/>
  <c r="H31" i="1"/>
  <c r="G31" i="1"/>
  <c r="F31" i="1"/>
  <c r="D31" i="1"/>
  <c r="C31" i="1"/>
  <c r="L31" i="1" s="1"/>
  <c r="M31" i="1" s="1"/>
  <c r="B31" i="1"/>
  <c r="I30" i="1"/>
  <c r="H30" i="1"/>
  <c r="F30" i="1"/>
  <c r="G30" i="1" s="1"/>
  <c r="D30" i="1"/>
  <c r="E30" i="1" s="1"/>
  <c r="C30" i="1"/>
  <c r="L30" i="1" s="1"/>
  <c r="B30" i="1"/>
  <c r="I29" i="1"/>
  <c r="H29" i="1"/>
  <c r="F29" i="1"/>
  <c r="G29" i="1" s="1"/>
  <c r="D29" i="1"/>
  <c r="C29" i="1"/>
  <c r="L29" i="1" s="1"/>
  <c r="M29" i="1" s="1"/>
  <c r="B29" i="1"/>
  <c r="L28" i="1"/>
  <c r="M28" i="1" s="1"/>
  <c r="I28" i="1"/>
  <c r="H28" i="1"/>
  <c r="F28" i="1"/>
  <c r="G28" i="1" s="1"/>
  <c r="E28" i="1"/>
  <c r="D28" i="1"/>
  <c r="C28" i="1"/>
  <c r="B28" i="1"/>
  <c r="B27" i="1" s="1"/>
  <c r="C27" i="1"/>
  <c r="L26" i="1"/>
  <c r="M26" i="1" s="1"/>
  <c r="J26" i="1"/>
  <c r="K26" i="1" s="1"/>
  <c r="I26" i="1"/>
  <c r="H26" i="1"/>
  <c r="F26" i="1"/>
  <c r="G26" i="1" s="1"/>
  <c r="E26" i="1"/>
  <c r="D26" i="1"/>
  <c r="C26" i="1"/>
  <c r="B26" i="1"/>
  <c r="J25" i="1"/>
  <c r="K25" i="1" s="1"/>
  <c r="I25" i="1"/>
  <c r="H25" i="1"/>
  <c r="F25" i="1"/>
  <c r="G25" i="1" s="1"/>
  <c r="D25" i="1"/>
  <c r="C25" i="1"/>
  <c r="B25" i="1"/>
  <c r="J24" i="1"/>
  <c r="K24" i="1" s="1"/>
  <c r="I24" i="1"/>
  <c r="H24" i="1"/>
  <c r="F24" i="1"/>
  <c r="G24" i="1" s="1"/>
  <c r="D24" i="1"/>
  <c r="E24" i="1" s="1"/>
  <c r="C24" i="1"/>
  <c r="B24" i="1"/>
  <c r="I23" i="1"/>
  <c r="H23" i="1"/>
  <c r="G23" i="1"/>
  <c r="F23" i="1"/>
  <c r="D23" i="1"/>
  <c r="C23" i="1"/>
  <c r="L23" i="1" s="1"/>
  <c r="M23" i="1" s="1"/>
  <c r="B23" i="1"/>
  <c r="I22" i="1"/>
  <c r="H22" i="1"/>
  <c r="F22" i="1"/>
  <c r="G22" i="1" s="1"/>
  <c r="D22" i="1"/>
  <c r="C22" i="1"/>
  <c r="N22" i="1" s="1"/>
  <c r="O22" i="1" s="1"/>
  <c r="B22" i="1"/>
  <c r="I21" i="1"/>
  <c r="H21" i="1"/>
  <c r="F21" i="1"/>
  <c r="G21" i="1" s="1"/>
  <c r="D21" i="1"/>
  <c r="C21" i="1"/>
  <c r="B21" i="1"/>
  <c r="J19" i="1"/>
  <c r="K19" i="1" s="1"/>
  <c r="I19" i="1"/>
  <c r="H19" i="1"/>
  <c r="F19" i="1"/>
  <c r="G19" i="1" s="1"/>
  <c r="D19" i="1"/>
  <c r="C19" i="1"/>
  <c r="B19" i="1"/>
  <c r="J18" i="1"/>
  <c r="K18" i="1" s="1"/>
  <c r="I18" i="1"/>
  <c r="I17" i="1" s="1"/>
  <c r="H18" i="1"/>
  <c r="F18" i="1"/>
  <c r="G18" i="1" s="1"/>
  <c r="D18" i="1"/>
  <c r="E18" i="1" s="1"/>
  <c r="C18" i="1"/>
  <c r="B18" i="1"/>
  <c r="B17" i="1" s="1"/>
  <c r="H17" i="1"/>
  <c r="C17" i="1"/>
  <c r="I16" i="1"/>
  <c r="H16" i="1"/>
  <c r="J16" i="1" s="1"/>
  <c r="K16" i="1" s="1"/>
  <c r="F16" i="1"/>
  <c r="G16" i="1" s="1"/>
  <c r="D16" i="1"/>
  <c r="C16" i="1"/>
  <c r="L16" i="1" s="1"/>
  <c r="M16" i="1" s="1"/>
  <c r="B16" i="1"/>
  <c r="I15" i="1"/>
  <c r="H15" i="1"/>
  <c r="F15" i="1"/>
  <c r="G15" i="1" s="1"/>
  <c r="D15" i="1"/>
  <c r="C15" i="1"/>
  <c r="L15" i="1" s="1"/>
  <c r="M15" i="1" s="1"/>
  <c r="B15" i="1"/>
  <c r="I14" i="1"/>
  <c r="H14" i="1"/>
  <c r="F14" i="1"/>
  <c r="D14" i="1"/>
  <c r="E14" i="1" s="1"/>
  <c r="C14" i="1"/>
  <c r="L14" i="1" s="1"/>
  <c r="M14" i="1" s="1"/>
  <c r="B14" i="1"/>
  <c r="I13" i="1"/>
  <c r="H13" i="1"/>
  <c r="F13" i="1"/>
  <c r="D13" i="1"/>
  <c r="C13" i="1"/>
  <c r="N13" i="1" s="1"/>
  <c r="O13" i="1" s="1"/>
  <c r="B13" i="1"/>
  <c r="I12" i="1"/>
  <c r="H12" i="1"/>
  <c r="F12" i="1"/>
  <c r="D12" i="1"/>
  <c r="C12" i="1"/>
  <c r="N12" i="1" s="1"/>
  <c r="O12" i="1" s="1"/>
  <c r="B12" i="1"/>
  <c r="I11" i="1"/>
  <c r="H11" i="1"/>
  <c r="G11" i="1"/>
  <c r="F11" i="1"/>
  <c r="D11" i="1"/>
  <c r="C11" i="1"/>
  <c r="J11" i="1" s="1"/>
  <c r="K11" i="1" s="1"/>
  <c r="B11" i="1"/>
  <c r="B9" i="1" s="1"/>
  <c r="I10" i="1"/>
  <c r="H10" i="1"/>
  <c r="F10" i="1"/>
  <c r="D10" i="1"/>
  <c r="E10" i="1" s="1"/>
  <c r="C10" i="1"/>
  <c r="L10" i="1" s="1"/>
  <c r="M10" i="1" s="1"/>
  <c r="B10" i="1"/>
  <c r="M30" i="1" l="1"/>
  <c r="B8" i="1"/>
  <c r="B39" i="1" s="1"/>
  <c r="B40" i="1" s="1"/>
  <c r="N15" i="1"/>
  <c r="O15" i="1" s="1"/>
  <c r="B20" i="1"/>
  <c r="J32" i="1"/>
  <c r="K32" i="1" s="1"/>
  <c r="N18" i="1"/>
  <c r="O18" i="1" s="1"/>
  <c r="F20" i="1"/>
  <c r="J22" i="1"/>
  <c r="K22" i="1" s="1"/>
  <c r="N23" i="1"/>
  <c r="O23" i="1" s="1"/>
  <c r="N24" i="1"/>
  <c r="O24" i="1" s="1"/>
  <c r="D27" i="1"/>
  <c r="E27" i="1" s="1"/>
  <c r="J30" i="1"/>
  <c r="K30" i="1" s="1"/>
  <c r="E33" i="1"/>
  <c r="E34" i="1"/>
  <c r="N38" i="1"/>
  <c r="O38" i="1" s="1"/>
  <c r="C9" i="1"/>
  <c r="C8" i="1" s="1"/>
  <c r="C39" i="1" s="1"/>
  <c r="C40" i="1" s="1"/>
  <c r="J12" i="1"/>
  <c r="K12" i="1" s="1"/>
  <c r="J13" i="1"/>
  <c r="K13" i="1" s="1"/>
  <c r="J14" i="1"/>
  <c r="K14" i="1" s="1"/>
  <c r="H20" i="1"/>
  <c r="L22" i="1"/>
  <c r="M22" i="1" s="1"/>
  <c r="E23" i="1"/>
  <c r="F27" i="1"/>
  <c r="G27" i="1" s="1"/>
  <c r="J28" i="1"/>
  <c r="K28" i="1" s="1"/>
  <c r="E31" i="1"/>
  <c r="J36" i="1"/>
  <c r="K36" i="1" s="1"/>
  <c r="G10" i="1"/>
  <c r="N11" i="1"/>
  <c r="O11" i="1" s="1"/>
  <c r="G12" i="1"/>
  <c r="G13" i="1"/>
  <c r="G14" i="1"/>
  <c r="E15" i="1"/>
  <c r="E16" i="1"/>
  <c r="N19" i="1"/>
  <c r="O19" i="1" s="1"/>
  <c r="C20" i="1"/>
  <c r="E22" i="1"/>
  <c r="J23" i="1"/>
  <c r="K23" i="1" s="1"/>
  <c r="I20" i="1"/>
  <c r="N25" i="1"/>
  <c r="O25" i="1" s="1"/>
  <c r="I27" i="1"/>
  <c r="E29" i="1"/>
  <c r="G32" i="1"/>
  <c r="J34" i="1"/>
  <c r="K34" i="1" s="1"/>
  <c r="L35" i="1"/>
  <c r="M35" i="1" s="1"/>
  <c r="E37" i="1"/>
  <c r="L38" i="1"/>
  <c r="M38" i="1" s="1"/>
  <c r="H9" i="1"/>
  <c r="H8" i="1" s="1"/>
  <c r="J10" i="1"/>
  <c r="E11" i="1"/>
  <c r="D9" i="1"/>
  <c r="E12" i="1"/>
  <c r="L12" i="1"/>
  <c r="M12" i="1" s="1"/>
  <c r="N17" i="1"/>
  <c r="O17" i="1" s="1"/>
  <c r="G20" i="1"/>
  <c r="L13" i="1"/>
  <c r="M13" i="1" s="1"/>
  <c r="N16" i="1"/>
  <c r="O16" i="1" s="1"/>
  <c r="F17" i="1"/>
  <c r="G17" i="1" s="1"/>
  <c r="L18" i="1"/>
  <c r="L19" i="1"/>
  <c r="M19" i="1" s="1"/>
  <c r="D20" i="1"/>
  <c r="E20" i="1" s="1"/>
  <c r="J21" i="1"/>
  <c r="L24" i="1"/>
  <c r="M24" i="1" s="1"/>
  <c r="L25" i="1"/>
  <c r="M25" i="1" s="1"/>
  <c r="F9" i="1"/>
  <c r="L11" i="1"/>
  <c r="E13" i="1"/>
  <c r="N14" i="1"/>
  <c r="O14" i="1" s="1"/>
  <c r="J15" i="1"/>
  <c r="K15" i="1" s="1"/>
  <c r="E19" i="1"/>
  <c r="E25" i="1"/>
  <c r="N26" i="1"/>
  <c r="O26" i="1" s="1"/>
  <c r="J29" i="1"/>
  <c r="K29" i="1" s="1"/>
  <c r="J31" i="1"/>
  <c r="K31" i="1" s="1"/>
  <c r="J33" i="1"/>
  <c r="K33" i="1" s="1"/>
  <c r="J35" i="1"/>
  <c r="K35" i="1" s="1"/>
  <c r="J37" i="1"/>
  <c r="K37" i="1" s="1"/>
  <c r="L21" i="1"/>
  <c r="I9" i="1"/>
  <c r="N10" i="1"/>
  <c r="D17" i="1"/>
  <c r="E17" i="1" s="1"/>
  <c r="J17" i="1"/>
  <c r="K17" i="1" s="1"/>
  <c r="E21" i="1"/>
  <c r="N21" i="1"/>
  <c r="H27" i="1"/>
  <c r="N29" i="1"/>
  <c r="O29" i="1" s="1"/>
  <c r="N31" i="1"/>
  <c r="O31" i="1" s="1"/>
  <c r="N33" i="1"/>
  <c r="O33" i="1" s="1"/>
  <c r="N35" i="1"/>
  <c r="O35" i="1" s="1"/>
  <c r="N37" i="1"/>
  <c r="O37" i="1" s="1"/>
  <c r="N28" i="1"/>
  <c r="N30" i="1"/>
  <c r="O30" i="1" s="1"/>
  <c r="N32" i="1"/>
  <c r="O32" i="1" s="1"/>
  <c r="N34" i="1"/>
  <c r="O34" i="1" s="1"/>
  <c r="N36" i="1"/>
  <c r="O36" i="1" s="1"/>
  <c r="J38" i="1"/>
  <c r="K38" i="1" s="1"/>
  <c r="I8" i="1" l="1"/>
  <c r="I39" i="1" s="1"/>
  <c r="I40" i="1" s="1"/>
  <c r="L27" i="1"/>
  <c r="M27" i="1" s="1"/>
  <c r="F8" i="1"/>
  <c r="G9" i="1"/>
  <c r="O21" i="1"/>
  <c r="N20" i="1"/>
  <c r="O20" i="1" s="1"/>
  <c r="O10" i="1"/>
  <c r="N9" i="1"/>
  <c r="J27" i="1"/>
  <c r="K27" i="1" s="1"/>
  <c r="O28" i="1"/>
  <c r="N27" i="1"/>
  <c r="O27" i="1" s="1"/>
  <c r="K10" i="1"/>
  <c r="J9" i="1"/>
  <c r="K21" i="1"/>
  <c r="J20" i="1"/>
  <c r="K20" i="1" s="1"/>
  <c r="D8" i="1"/>
  <c r="E9" i="1"/>
  <c r="M21" i="1"/>
  <c r="L20" i="1"/>
  <c r="M20" i="1" s="1"/>
  <c r="M11" i="1"/>
  <c r="L9" i="1"/>
  <c r="M18" i="1"/>
  <c r="L17" i="1"/>
  <c r="M17" i="1" s="1"/>
  <c r="H39" i="1"/>
  <c r="M9" i="1" l="1"/>
  <c r="L8" i="1"/>
  <c r="J8" i="1"/>
  <c r="K9" i="1"/>
  <c r="H40" i="1"/>
  <c r="D39" i="1"/>
  <c r="E8" i="1"/>
  <c r="N8" i="1"/>
  <c r="O9" i="1"/>
  <c r="F39" i="1"/>
  <c r="G8" i="1"/>
  <c r="G40" i="1" l="1"/>
  <c r="F40" i="1"/>
  <c r="G39" i="1"/>
  <c r="E39" i="1"/>
  <c r="E40" i="1"/>
  <c r="D40" i="1"/>
  <c r="L40" i="1"/>
  <c r="J39" i="1"/>
  <c r="K8" i="1"/>
  <c r="L39" i="1"/>
  <c r="M8" i="1"/>
  <c r="N39" i="1"/>
  <c r="N40" i="1" s="1"/>
  <c r="O8" i="1"/>
  <c r="M39" i="1" l="1"/>
  <c r="M40" i="1"/>
  <c r="O40" i="1"/>
  <c r="O39" i="1"/>
  <c r="K40" i="1"/>
  <c r="K39" i="1"/>
  <c r="J40" i="1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<sst xmlns="http://schemas.openxmlformats.org/spreadsheetml/2006/main" count="51" uniqueCount="51">
  <si>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</si>
  <si>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</si>
  <si>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JUNIO - 2017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</si>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</sst>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9" fontId="3" fillId="2" borderId="0" xfId="3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2" borderId="0" xfId="1" quotePrefix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 wrapText="1"/>
    </xf>
    <xf numFmtId="10" fontId="6" fillId="3" borderId="1" xfId="3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 wrapText="1"/>
    </xf>
    <xf numFmtId="9" fontId="6" fillId="3" borderId="1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left" vertical="center" wrapText="1"/>
    </xf>
    <xf numFmtId="16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5" borderId="1" xfId="1" applyNumberFormat="1" applyFont="1" applyFill="1" applyBorder="1" applyAlignment="1">
      <alignment horizontal="left" vertical="center" wrapText="1"/>
    </xf>
    <xf numFmtId="164" fontId="8" fillId="5" borderId="1" xfId="2" applyNumberFormat="1" applyFont="1" applyFill="1" applyBorder="1" applyAlignment="1">
      <alignment vertical="center"/>
    </xf>
    <xf numFmtId="10" fontId="8" fillId="5" borderId="1" xfId="3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 wrapText="1"/>
    </xf>
    <xf numFmtId="164" fontId="11" fillId="0" borderId="1" xfId="2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6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</cellXfs>
  <cellStyles count="5">
    <cellStyle name="Millares 2" xfId="2"/>
    <cellStyle name="Normal" xfId="0" builtinId="0"/>
    <cellStyle name="Normal 2" xfId="1"/>
    <cellStyle name="Porcentaje 2" xfId="3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180586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4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GEP\BACK%20UP%20PARTE%201\2017\WEB%20SIC\INFORME%20EPA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JECUCIÓN"/>
      <sheetName val="METAS"/>
      <sheetName val="TD-EPA (2)"/>
      <sheetName val="TD-EPA"/>
      <sheetName val="EPA - SIIF"/>
      <sheetName val="METAS EJEC. SIC - MINCIT"/>
    </sheetNames>
    <sheetDataSet>
      <sheetData sheetId="0"/>
      <sheetData sheetId="1"/>
      <sheetData sheetId="2"/>
      <sheetData sheetId="3"/>
      <sheetData sheetId="4">
        <row r="5">
          <cell r="A5" t="str">
            <v>1</v>
          </cell>
          <cell r="B5">
            <v>54004933333</v>
          </cell>
          <cell r="C5">
            <v>54004933333</v>
          </cell>
          <cell r="D5">
            <v>50858518955</v>
          </cell>
          <cell r="E5">
            <v>23087966031</v>
          </cell>
          <cell r="F5">
            <v>22528990784</v>
          </cell>
          <cell r="G5">
            <v>22528990784</v>
          </cell>
          <cell r="H5">
            <v>3100000000</v>
          </cell>
        </row>
        <row r="6">
          <cell r="A6" t="str">
            <v>CONTRIBUCIONES INHERENTES A LA NOMINA SECTOR PRIVADO Y PUBLICO</v>
          </cell>
          <cell r="B6">
            <v>10325333333</v>
          </cell>
          <cell r="C6">
            <v>10325333333</v>
          </cell>
          <cell r="D6">
            <v>10325333333</v>
          </cell>
          <cell r="E6">
            <v>4471147616</v>
          </cell>
          <cell r="F6">
            <v>4429796467</v>
          </cell>
          <cell r="G6">
            <v>4429796467</v>
          </cell>
          <cell r="H6">
            <v>0</v>
          </cell>
        </row>
        <row r="7">
          <cell r="A7" t="str">
            <v>HORAS EXTRAS, DIAS FESTIVOS E INDEMNIZACION POR VACACIONES</v>
          </cell>
          <cell r="B7">
            <v>334000000</v>
          </cell>
          <cell r="C7">
            <v>334000000</v>
          </cell>
          <cell r="D7">
            <v>334000000</v>
          </cell>
          <cell r="E7">
            <v>99938923</v>
          </cell>
          <cell r="F7">
            <v>95642295</v>
          </cell>
          <cell r="G7">
            <v>95642295</v>
          </cell>
          <cell r="H7">
            <v>0</v>
          </cell>
        </row>
        <row r="8">
          <cell r="A8" t="str">
            <v>OTROS</v>
          </cell>
          <cell r="B8">
            <v>23087000000</v>
          </cell>
          <cell r="C8">
            <v>23087000000</v>
          </cell>
          <cell r="D8">
            <v>23087000000</v>
          </cell>
          <cell r="E8">
            <v>9519992269</v>
          </cell>
          <cell r="F8">
            <v>9512686862</v>
          </cell>
          <cell r="G8">
            <v>9512686862</v>
          </cell>
          <cell r="H8">
            <v>0</v>
          </cell>
        </row>
        <row r="9">
          <cell r="A9" t="str">
            <v>OTROS GASTOS PERSONALES - PREVIO CONCEPTO DGPPN</v>
          </cell>
          <cell r="B9">
            <v>3100000000</v>
          </cell>
          <cell r="C9">
            <v>3100000000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3100000000</v>
          </cell>
        </row>
        <row r="10">
          <cell r="A10" t="str">
            <v>PRIMA TECNICA</v>
          </cell>
          <cell r="B10">
            <v>883000000</v>
          </cell>
          <cell r="C10">
            <v>883000000</v>
          </cell>
          <cell r="D10">
            <v>883000000</v>
          </cell>
          <cell r="E10">
            <v>446047203</v>
          </cell>
          <cell r="F10">
            <v>446047203</v>
          </cell>
          <cell r="G10">
            <v>446047203</v>
          </cell>
          <cell r="H10">
            <v>0</v>
          </cell>
        </row>
        <row r="11">
          <cell r="A11" t="str">
            <v>SERVICIOS PERSONALES INDIRECTOS</v>
          </cell>
          <cell r="B11">
            <v>463600000</v>
          </cell>
          <cell r="C11">
            <v>463600000</v>
          </cell>
          <cell r="D11">
            <v>417185622</v>
          </cell>
          <cell r="E11">
            <v>398942214</v>
          </cell>
          <cell r="F11">
            <v>164610323</v>
          </cell>
          <cell r="G11">
            <v>164610323</v>
          </cell>
          <cell r="H11">
            <v>0</v>
          </cell>
        </row>
        <row r="12">
          <cell r="A12" t="str">
            <v>SUELDOS DE PERSONAL DE NOMINA</v>
          </cell>
          <cell r="B12">
            <v>15812000000</v>
          </cell>
          <cell r="C12">
            <v>15812000000</v>
          </cell>
          <cell r="D12">
            <v>15812000000</v>
          </cell>
          <cell r="E12">
            <v>8151897806</v>
          </cell>
          <cell r="F12">
            <v>7880207634</v>
          </cell>
          <cell r="G12">
            <v>7880207634</v>
          </cell>
          <cell r="H12">
            <v>0</v>
          </cell>
        </row>
        <row r="13">
          <cell r="A13" t="str">
            <v>2</v>
          </cell>
          <cell r="B13">
            <v>10709950000</v>
          </cell>
          <cell r="C13">
            <v>10709950000</v>
          </cell>
          <cell r="D13">
            <v>10446007345.379999</v>
          </cell>
          <cell r="E13">
            <v>10347761460.559999</v>
          </cell>
          <cell r="F13">
            <v>7325635355.9399996</v>
          </cell>
          <cell r="G13">
            <v>7204146889.9399996</v>
          </cell>
          <cell r="H13">
            <v>0</v>
          </cell>
        </row>
        <row r="14">
          <cell r="A14" t="str">
            <v>ADQUISICION DE BIENES Y SERVICIOS</v>
          </cell>
          <cell r="B14">
            <v>10659950000</v>
          </cell>
          <cell r="C14">
            <v>10659950000</v>
          </cell>
          <cell r="D14">
            <v>10443801345.379999</v>
          </cell>
          <cell r="E14">
            <v>10345555460.559999</v>
          </cell>
          <cell r="F14">
            <v>7323439355.9399996</v>
          </cell>
          <cell r="G14">
            <v>7201950889.9399996</v>
          </cell>
          <cell r="H14">
            <v>0</v>
          </cell>
        </row>
        <row r="15">
          <cell r="A15" t="str">
            <v>IMPUESTOS Y MULTAS</v>
          </cell>
          <cell r="B15">
            <v>50000000</v>
          </cell>
          <cell r="C15">
            <v>50000000</v>
          </cell>
          <cell r="D15">
            <v>2206000</v>
          </cell>
          <cell r="E15">
            <v>2206000</v>
          </cell>
          <cell r="F15">
            <v>2196000</v>
          </cell>
          <cell r="G15">
            <v>2196000</v>
          </cell>
          <cell r="H15">
            <v>0</v>
          </cell>
        </row>
        <row r="16">
          <cell r="A16" t="str">
            <v>3</v>
          </cell>
          <cell r="B16">
            <v>5364000000</v>
          </cell>
          <cell r="C16">
            <v>5364000000</v>
          </cell>
          <cell r="D16">
            <v>1833218752.6900001</v>
          </cell>
          <cell r="E16">
            <v>1290780029.6100001</v>
          </cell>
          <cell r="F16">
            <v>1142553772.71</v>
          </cell>
          <cell r="G16">
            <v>1132010159.71</v>
          </cell>
          <cell r="H16">
            <v>0</v>
          </cell>
        </row>
        <row r="17">
          <cell r="A17" t="str">
            <v>APORTE PREVISION SOCIAL SERVICIOS MEDICOS</v>
          </cell>
          <cell r="B17">
            <v>607000000</v>
          </cell>
          <cell r="C17">
            <v>607000000</v>
          </cell>
          <cell r="D17">
            <v>607000000</v>
          </cell>
          <cell r="E17">
            <v>309220926</v>
          </cell>
          <cell r="F17">
            <v>259188720</v>
          </cell>
          <cell r="G17">
            <v>259188720</v>
          </cell>
          <cell r="H17">
            <v>0</v>
          </cell>
        </row>
        <row r="18">
          <cell r="A18" t="str">
            <v>CONVENCION DEL METRO - OFICINA INTERNACIONAL DE PESAS Y MEDIDAS - BIPM. LEY 1512 DE 2012</v>
          </cell>
          <cell r="B18">
            <v>162000000</v>
          </cell>
          <cell r="C18">
            <v>162000000</v>
          </cell>
          <cell r="D18">
            <v>645419</v>
          </cell>
          <cell r="E18">
            <v>645419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CUOTA DE AUDITAJE CONTRANAL</v>
          </cell>
          <cell r="B19">
            <v>177000000</v>
          </cell>
          <cell r="C19">
            <v>177000000</v>
          </cell>
          <cell r="D19">
            <v>705179</v>
          </cell>
          <cell r="E19">
            <v>705179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MESADAS PENSIONALES</v>
          </cell>
          <cell r="B20">
            <v>352000000</v>
          </cell>
          <cell r="C20">
            <v>352000000</v>
          </cell>
          <cell r="D20">
            <v>352000000</v>
          </cell>
          <cell r="E20">
            <v>179554421.91999999</v>
          </cell>
          <cell r="F20">
            <v>179386600.31999999</v>
          </cell>
          <cell r="G20">
            <v>179386600.31999999</v>
          </cell>
          <cell r="H20">
            <v>0</v>
          </cell>
        </row>
        <row r="21">
          <cell r="A21" t="str">
            <v>ORGANIZACION PARA LA COOPERACION Y EL DESARROLLO ECONOMICO OCDE-ARTICULO 47 LEY 1450 DE 2011</v>
          </cell>
          <cell r="B21">
            <v>66000000</v>
          </cell>
          <cell r="C21">
            <v>66000000</v>
          </cell>
          <cell r="D21">
            <v>262948</v>
          </cell>
          <cell r="E21">
            <v>262948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SENTENCIAS Y CONCILIACIONES</v>
          </cell>
          <cell r="B22">
            <v>4000000000</v>
          </cell>
          <cell r="C22">
            <v>4000000000</v>
          </cell>
          <cell r="D22">
            <v>872605206.69000006</v>
          </cell>
          <cell r="E22">
            <v>800391135.69000006</v>
          </cell>
          <cell r="F22">
            <v>703978452.38999999</v>
          </cell>
          <cell r="G22">
            <v>693434839.38999999</v>
          </cell>
          <cell r="H22">
            <v>0</v>
          </cell>
        </row>
        <row r="23">
          <cell r="A23" t="str">
            <v>C</v>
          </cell>
          <cell r="B23">
            <v>87360813320</v>
          </cell>
          <cell r="C23">
            <v>90279213320</v>
          </cell>
          <cell r="D23">
            <v>81332462654.479996</v>
          </cell>
          <cell r="E23">
            <v>70295484083.149994</v>
          </cell>
          <cell r="F23">
            <v>25474934817.5</v>
          </cell>
          <cell r="G23">
            <v>25470888797.5</v>
          </cell>
          <cell r="H23">
            <v>0</v>
          </cell>
        </row>
        <row r="24">
          <cell r="A24" t="str">
            <v>3503</v>
          </cell>
          <cell r="B24">
            <v>48170382570</v>
          </cell>
          <cell r="C24">
            <v>51088782570</v>
          </cell>
          <cell r="D24">
            <v>46721451892</v>
          </cell>
          <cell r="E24">
            <v>41513381448</v>
          </cell>
          <cell r="F24">
            <v>15180950946.33</v>
          </cell>
          <cell r="G24">
            <v>15176904926.33</v>
          </cell>
          <cell r="H24">
            <v>0</v>
          </cell>
        </row>
        <row r="25">
          <cell r="A25" t="str">
            <v>DIFUSIÓN E INCREMENTO DE LOS NIVELES DE EFICIENCIA EN LA ATENCIÓN DE TRÁMITES Y SERVICIOS EN MATERIA JURISDICCIONAL A NIVEL NACIONAL</v>
          </cell>
          <cell r="B25">
            <v>2988390000</v>
          </cell>
          <cell r="C25">
            <v>2988390000</v>
          </cell>
          <cell r="D25">
            <v>2831230628</v>
          </cell>
          <cell r="E25">
            <v>1784966895</v>
          </cell>
          <cell r="F25">
            <v>848265917</v>
          </cell>
          <cell r="G25">
            <v>848265917</v>
          </cell>
          <cell r="H25">
            <v>0</v>
          </cell>
        </row>
        <row r="26">
          <cell r="A26" t="str">
            <v>DIVULGACIÓN Y FORTALECIMIENTO DE LAS FUNCIONES DE PROTECCIÓN DE LA COMPETENCIA A NIVEL NACIONAL</v>
          </cell>
          <cell r="B26">
            <v>9161813320</v>
          </cell>
          <cell r="C26">
            <v>9161813320</v>
          </cell>
          <cell r="D26">
            <v>9004870415</v>
          </cell>
          <cell r="E26">
            <v>7661169548</v>
          </cell>
          <cell r="F26">
            <v>2709529694</v>
          </cell>
          <cell r="G26">
            <v>2709529694</v>
          </cell>
          <cell r="H26">
            <v>0</v>
          </cell>
        </row>
        <row r="27">
          <cell r="A27" t="str">
            <v>FORTALECIMIENTO DE LA RED NACIONAL DE PROTECCIÓN AL CONSUMIDOR EN COLOMBIA</v>
          </cell>
          <cell r="B27">
            <v>21633000000</v>
          </cell>
          <cell r="C27">
            <v>21633000000</v>
          </cell>
          <cell r="D27">
            <v>18611510970</v>
          </cell>
          <cell r="E27">
            <v>17429490367</v>
          </cell>
          <cell r="F27">
            <v>6824550125.3299999</v>
          </cell>
          <cell r="G27">
            <v>6821065916.3299999</v>
          </cell>
          <cell r="H27">
            <v>0</v>
          </cell>
        </row>
        <row r="28">
          <cell r="A28" t="str">
            <v>FORTALECIMIENTO DE LOS MECANISMOS PARA EJERCER CONTROL Y VIGILANCIA A LAS CÁMARAS DE COMERCIO Y COMERCIANTES A NIVEL NACIONAL</v>
          </cell>
          <cell r="B28">
            <v>891000000</v>
          </cell>
          <cell r="C28">
            <v>891000000</v>
          </cell>
          <cell r="D28">
            <v>878206667</v>
          </cell>
          <cell r="E28">
            <v>845444760</v>
          </cell>
          <cell r="F28">
            <v>233909461</v>
          </cell>
          <cell r="G28">
            <v>233909461</v>
          </cell>
          <cell r="H28">
            <v>0</v>
          </cell>
        </row>
        <row r="29">
          <cell r="A29" t="str">
            <v>FORTALECIMIENTO DEL CONTROL Y VIGILANCIA DE LA REGLAMENTACIÓN TÉCNICA, METROLÓGICA, DE HIDROCARBUROS Y PRECIOS EN EL TERRITORIO NACIONAL</v>
          </cell>
          <cell r="B29">
            <v>4281545000</v>
          </cell>
          <cell r="C29">
            <v>4281545000</v>
          </cell>
          <cell r="D29">
            <v>4168984564</v>
          </cell>
          <cell r="E29">
            <v>3956286034</v>
          </cell>
          <cell r="F29">
            <v>1466212926</v>
          </cell>
          <cell r="G29">
            <v>1466068037</v>
          </cell>
          <cell r="H29">
            <v>0</v>
          </cell>
        </row>
        <row r="30">
          <cell r="A30" t="str">
            <v>FORTALECIMIENTO DEL ESQUEMA DE CONTROL, VIGILANCIA Y DIVULGACIÓN DE LOS DERECHOS DEL CONSUMIDOR A NIVEL NACIONAL</v>
          </cell>
          <cell r="B30">
            <v>2249711250</v>
          </cell>
          <cell r="C30">
            <v>5168111250</v>
          </cell>
          <cell r="D30">
            <v>4421783271</v>
          </cell>
          <cell r="E30">
            <v>3474752690</v>
          </cell>
          <cell r="F30">
            <v>1141076617</v>
          </cell>
          <cell r="G30">
            <v>1141076617</v>
          </cell>
          <cell r="H30">
            <v>0</v>
          </cell>
        </row>
        <row r="31">
          <cell r="A31" t="str">
            <v>IMPLEMENTACIÓN Y FORTALECIMIENTO DE LA SUPERVISIÓN A LA ACTIVIDAD DE ADMINISTRACIÓN DE DATOS PERSONALES EN EL ÁMBITO NACIONAL</v>
          </cell>
          <cell r="B31">
            <v>1079000000</v>
          </cell>
          <cell r="C31">
            <v>1079000000</v>
          </cell>
          <cell r="D31">
            <v>1075584726</v>
          </cell>
          <cell r="E31">
            <v>1030277664</v>
          </cell>
          <cell r="F31">
            <v>356063120</v>
          </cell>
          <cell r="G31">
            <v>355916698</v>
          </cell>
          <cell r="H31">
            <v>0</v>
          </cell>
        </row>
        <row r="32">
          <cell r="A32" t="str">
            <v>INCREMENTO DEL USO DEL SISTEMA DE PROPIEDAD INDUSTRIAL Y DE LA EFICIENCIA Y CALIDAD EN LOS PROCESOS DE LOS TRÁMITES Y SERVICIOS DE PROPIEDAD INDUSTRIAL A NIVEL NACIONAL</v>
          </cell>
          <cell r="B32">
            <v>5885923000</v>
          </cell>
          <cell r="C32">
            <v>5885923000</v>
          </cell>
          <cell r="D32">
            <v>5729280651</v>
          </cell>
          <cell r="E32">
            <v>5330993490</v>
          </cell>
          <cell r="F32">
            <v>1601343086</v>
          </cell>
          <cell r="G32">
            <v>1601072586</v>
          </cell>
          <cell r="H32">
            <v>0</v>
          </cell>
        </row>
        <row r="33">
          <cell r="A33" t="str">
            <v>3599</v>
          </cell>
          <cell r="B33">
            <v>39190430750</v>
          </cell>
          <cell r="C33">
            <v>39190430750</v>
          </cell>
          <cell r="D33">
            <v>34611010762.479996</v>
          </cell>
          <cell r="E33">
            <v>28782102635.150002</v>
          </cell>
          <cell r="F33">
            <v>10293983871.17</v>
          </cell>
          <cell r="G33">
            <v>10293983871.17</v>
          </cell>
          <cell r="H33">
            <v>0</v>
          </cell>
        </row>
        <row r="34">
          <cell r="A34" t="str">
            <v>ADECUACION,DOTACION Y MANTENIMIENTO SEDE SIC.</v>
          </cell>
          <cell r="B34">
            <v>515000000</v>
          </cell>
          <cell r="C34">
            <v>515000000</v>
          </cell>
          <cell r="D34">
            <v>509946000</v>
          </cell>
          <cell r="E34">
            <v>389712631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FORTALECIMIENTO RENOVACIÓN Y MANTENIMIENTO DE LAS TECNOLOGÍAS DE INFORMACIÓN Y DE LAS COMUNICACIONES DE LA SIC A NIVEL NACIONAL</v>
          </cell>
          <cell r="B35">
            <v>20812841917</v>
          </cell>
          <cell r="C35">
            <v>20812841917</v>
          </cell>
          <cell r="D35">
            <v>17628108688.48</v>
          </cell>
          <cell r="E35">
            <v>13404732132.15</v>
          </cell>
          <cell r="F35">
            <v>4634136301</v>
          </cell>
          <cell r="G35">
            <v>4634136301</v>
          </cell>
          <cell r="H35">
            <v>0</v>
          </cell>
        </row>
        <row r="36">
          <cell r="A36" t="str">
            <v>FORTALECIMIENTO Y MODERNIZACIÓN DEL SISTEMA DE ATENCIÓN AL CIUDADANO DE LA SIC A NIVEL NACIONAL</v>
          </cell>
          <cell r="B36">
            <v>17862588833</v>
          </cell>
          <cell r="C36">
            <v>17862588833</v>
          </cell>
          <cell r="D36">
            <v>16472956074</v>
          </cell>
          <cell r="E36">
            <v>14987657872</v>
          </cell>
          <cell r="F36">
            <v>5659847570.1700001</v>
          </cell>
          <cell r="G36">
            <v>5659847570.1700001</v>
          </cell>
          <cell r="H36">
            <v>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2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70078883333</v>
      </c>
      <c r="C8" s="16">
        <f t="shared" ref="C8:F8" si="0">C9+C17+C20</f>
        <v>70078883333</v>
      </c>
      <c r="D8" s="16">
        <f t="shared" si="0"/>
        <v>34726507521.169998</v>
      </c>
      <c r="E8" s="17">
        <f t="shared" ref="E8:E9" si="1">+D8/C8</f>
        <v>0.49553454435278305</v>
      </c>
      <c r="F8" s="16">
        <f t="shared" si="0"/>
        <v>30997179912.649998</v>
      </c>
      <c r="G8" s="17">
        <f t="shared" ref="G8:G9" si="2">+F8/C8</f>
        <v>0.44231840518003074</v>
      </c>
      <c r="H8" s="16">
        <f t="shared" ref="H8:N8" si="3">H9+H17+H20</f>
        <v>63137745053.07</v>
      </c>
      <c r="I8" s="16">
        <f t="shared" si="3"/>
        <v>30865147833.649998</v>
      </c>
      <c r="J8" s="16">
        <f t="shared" si="3"/>
        <v>6941138279.9300003</v>
      </c>
      <c r="K8" s="17">
        <f t="shared" ref="K8:K9" si="4">+J8/C8</f>
        <v>9.9047501184446426E-2</v>
      </c>
      <c r="L8" s="16">
        <f t="shared" si="3"/>
        <v>35352375811.830002</v>
      </c>
      <c r="M8" s="17">
        <f t="shared" ref="M8:M9" si="5">+L8/C8</f>
        <v>0.5044654556472169</v>
      </c>
      <c r="N8" s="16">
        <f t="shared" si="3"/>
        <v>39081703420.349998</v>
      </c>
      <c r="O8" s="17">
        <f t="shared" ref="O8:O9" si="6">+N8/C8</f>
        <v>0.55768159481996915</v>
      </c>
    </row>
    <row r="9" spans="1:15" s="18" customFormat="1" ht="15.75" x14ac:dyDescent="0.25">
      <c r="A9" s="19" t="s">
        <v>20</v>
      </c>
      <c r="B9" s="20">
        <f>SUM(B10:B16)</f>
        <v>54004933333</v>
      </c>
      <c r="C9" s="20">
        <f t="shared" ref="C9:F9" si="7">SUM(C10:C16)</f>
        <v>54004933333</v>
      </c>
      <c r="D9" s="20">
        <f t="shared" si="7"/>
        <v>23087966031</v>
      </c>
      <c r="E9" s="21">
        <f t="shared" si="1"/>
        <v>0.42751586949727749</v>
      </c>
      <c r="F9" s="20">
        <f t="shared" si="7"/>
        <v>22528990784</v>
      </c>
      <c r="G9" s="21">
        <f t="shared" si="2"/>
        <v>0.4171654216307224</v>
      </c>
      <c r="H9" s="20">
        <f t="shared" ref="H9:N9" si="8">SUM(H10:H16)</f>
        <v>50858518955</v>
      </c>
      <c r="I9" s="20">
        <f t="shared" si="8"/>
        <v>22528990784</v>
      </c>
      <c r="J9" s="20">
        <f t="shared" si="8"/>
        <v>3146414378</v>
      </c>
      <c r="K9" s="21">
        <f t="shared" si="4"/>
        <v>5.8261610260656814E-2</v>
      </c>
      <c r="L9" s="20">
        <f t="shared" si="8"/>
        <v>30916967302</v>
      </c>
      <c r="M9" s="21">
        <f t="shared" si="5"/>
        <v>0.57248413050272251</v>
      </c>
      <c r="N9" s="20">
        <f t="shared" si="8"/>
        <v>31475942549</v>
      </c>
      <c r="O9" s="21">
        <f t="shared" si="6"/>
        <v>0.58283457836927755</v>
      </c>
    </row>
    <row r="10" spans="1:15" x14ac:dyDescent="0.25">
      <c r="A10" s="22" t="s">
        <v>21</v>
      </c>
      <c r="B10" s="23">
        <f>VLOOKUP(A10,'[1]TD-EPA'!$A$5:$H$36,2,0)</f>
        <v>15812000000</v>
      </c>
      <c r="C10" s="24">
        <f>VLOOKUP(A10,'[1]TD-EPA'!$A$5:$H$36,3,0)</f>
        <v>15812000000</v>
      </c>
      <c r="D10" s="24">
        <f>VLOOKUP(A10,'[1]TD-EPA'!$A$5:$H$36,5,0)</f>
        <v>8151897806</v>
      </c>
      <c r="E10" s="25">
        <f>+D10/C10</f>
        <v>0.51555134113331647</v>
      </c>
      <c r="F10" s="23">
        <f>VLOOKUP(A10,'[1]TD-EPA'!$A$5:$H$36,6,0)</f>
        <v>7880207634</v>
      </c>
      <c r="G10" s="25">
        <f>+F10/C10</f>
        <v>0.49836881065013916</v>
      </c>
      <c r="H10" s="23">
        <f>VLOOKUP(A10,'[1]TD-EPA'!$A$5:$H$36,4,0)</f>
        <v>15812000000</v>
      </c>
      <c r="I10" s="23">
        <f>VLOOKUP(A10,'[1]TD-EPA'!$A$5:$H$36,7,0)</f>
        <v>7880207634</v>
      </c>
      <c r="J10" s="23">
        <f>+C10-H10</f>
        <v>0</v>
      </c>
      <c r="K10" s="25">
        <f>+J10/C10</f>
        <v>0</v>
      </c>
      <c r="L10" s="23">
        <f>+C10-D10</f>
        <v>7660102194</v>
      </c>
      <c r="M10" s="25">
        <f>+L10/C10</f>
        <v>0.48444865886668353</v>
      </c>
      <c r="N10" s="23">
        <f>+C10-F10</f>
        <v>7931792366</v>
      </c>
      <c r="O10" s="25">
        <f>+N10/C10</f>
        <v>0.50163118934986084</v>
      </c>
    </row>
    <row r="11" spans="1:15" x14ac:dyDescent="0.25">
      <c r="A11" s="22" t="s">
        <v>22</v>
      </c>
      <c r="B11" s="23">
        <f>VLOOKUP(A11,'[1]TD-EPA'!$A$5:$H$36,2,0)</f>
        <v>883000000</v>
      </c>
      <c r="C11" s="24">
        <f>VLOOKUP(A11,'[1]TD-EPA'!$A$5:$H$36,3,0)</f>
        <v>883000000</v>
      </c>
      <c r="D11" s="24">
        <f>VLOOKUP(A11,'[1]TD-EPA'!$A$5:$H$36,5,0)</f>
        <v>446047203</v>
      </c>
      <c r="E11" s="25">
        <f t="shared" ref="E11:E39" si="9">D11/C11</f>
        <v>0.50514972027180072</v>
      </c>
      <c r="F11" s="23">
        <f>VLOOKUP(A11,'[1]TD-EPA'!$A$5:$H$36,6,0)</f>
        <v>446047203</v>
      </c>
      <c r="G11" s="25">
        <f t="shared" ref="G11:G39" si="10">+F11/C11</f>
        <v>0.50514972027180072</v>
      </c>
      <c r="H11" s="23">
        <f>VLOOKUP(A11,'[1]TD-EPA'!$A$5:$H$36,4,0)</f>
        <v>883000000</v>
      </c>
      <c r="I11" s="23">
        <f>VLOOKUP(A11,'[1]TD-EPA'!$A$5:$H$36,7,0)</f>
        <v>446047203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436952797</v>
      </c>
      <c r="M11" s="25">
        <f>+L11/C11</f>
        <v>0.49485027972819934</v>
      </c>
      <c r="N11" s="23">
        <f t="shared" ref="N11:N38" si="14">+C11-F11</f>
        <v>436952797</v>
      </c>
      <c r="O11" s="25">
        <f t="shared" ref="O11:O39" si="15">+N11/C11</f>
        <v>0.49485027972819934</v>
      </c>
    </row>
    <row r="12" spans="1:15" x14ac:dyDescent="0.25">
      <c r="A12" s="22" t="s">
        <v>23</v>
      </c>
      <c r="B12" s="23">
        <f>VLOOKUP(A12,'[1]TD-EPA'!$A$5:$H$36,2,0)</f>
        <v>23087000000</v>
      </c>
      <c r="C12" s="24">
        <f>VLOOKUP(A12,'[1]TD-EPA'!$A$5:$H$36,3,0)</f>
        <v>23087000000</v>
      </c>
      <c r="D12" s="24">
        <f>VLOOKUP(A12,'[1]TD-EPA'!$A$5:$H$36,5,0)</f>
        <v>9519992269</v>
      </c>
      <c r="E12" s="25">
        <f t="shared" si="9"/>
        <v>0.41235293754060726</v>
      </c>
      <c r="F12" s="23">
        <f>VLOOKUP(A12,'[1]TD-EPA'!$A$5:$H$36,6,0)</f>
        <v>9512686862</v>
      </c>
      <c r="G12" s="25">
        <f t="shared" si="10"/>
        <v>0.41203650807813919</v>
      </c>
      <c r="H12" s="23">
        <f>VLOOKUP(A12,'[1]TD-EPA'!$A$5:$H$36,4,0)</f>
        <v>23087000000</v>
      </c>
      <c r="I12" s="23">
        <f>VLOOKUP(A12,'[1]TD-EPA'!$A$5:$H$36,7,0)</f>
        <v>9512686862</v>
      </c>
      <c r="J12" s="23">
        <f t="shared" si="11"/>
        <v>0</v>
      </c>
      <c r="K12" s="25">
        <f t="shared" si="12"/>
        <v>0</v>
      </c>
      <c r="L12" s="23">
        <f t="shared" si="13"/>
        <v>13567007731</v>
      </c>
      <c r="M12" s="25">
        <f t="shared" ref="M12:M39" si="16">+L12/C12</f>
        <v>0.58764706245939269</v>
      </c>
      <c r="N12" s="23">
        <f t="shared" si="14"/>
        <v>13574313138</v>
      </c>
      <c r="O12" s="25">
        <f t="shared" si="15"/>
        <v>0.58796349192186081</v>
      </c>
    </row>
    <row r="13" spans="1:15" ht="28.5" x14ac:dyDescent="0.25">
      <c r="A13" s="22" t="s">
        <v>24</v>
      </c>
      <c r="B13" s="23">
        <f>VLOOKUP(A13,'[1]TD-EPA'!$A$5:$H$36,2,0)</f>
        <v>334000000</v>
      </c>
      <c r="C13" s="24">
        <f>VLOOKUP(A13,'[1]TD-EPA'!$A$5:$H$36,3,0)</f>
        <v>334000000</v>
      </c>
      <c r="D13" s="24">
        <f>VLOOKUP(A13,'[1]TD-EPA'!$A$5:$H$36,5,0)</f>
        <v>99938923</v>
      </c>
      <c r="E13" s="25">
        <f t="shared" si="9"/>
        <v>0.29921833233532935</v>
      </c>
      <c r="F13" s="23">
        <f>VLOOKUP(A13,'[1]TD-EPA'!$A$5:$H$36,6,0)</f>
        <v>95642295</v>
      </c>
      <c r="G13" s="25">
        <f t="shared" si="10"/>
        <v>0.28635417664670659</v>
      </c>
      <c r="H13" s="23">
        <f>VLOOKUP(A13,'[1]TD-EPA'!$A$5:$H$36,4,0)</f>
        <v>334000000</v>
      </c>
      <c r="I13" s="23">
        <f>VLOOKUP(A13,'[1]TD-EPA'!$A$5:$H$36,7,0)</f>
        <v>95642295</v>
      </c>
      <c r="J13" s="23">
        <f t="shared" si="11"/>
        <v>0</v>
      </c>
      <c r="K13" s="25">
        <f t="shared" si="12"/>
        <v>0</v>
      </c>
      <c r="L13" s="23">
        <f t="shared" si="13"/>
        <v>234061077</v>
      </c>
      <c r="M13" s="25">
        <f t="shared" si="16"/>
        <v>0.70078166766467065</v>
      </c>
      <c r="N13" s="23">
        <f t="shared" si="14"/>
        <v>238357705</v>
      </c>
      <c r="O13" s="25">
        <f t="shared" si="15"/>
        <v>0.71364582335329341</v>
      </c>
    </row>
    <row r="14" spans="1:15" ht="28.5" x14ac:dyDescent="0.25">
      <c r="A14" s="22" t="s">
        <v>25</v>
      </c>
      <c r="B14" s="23">
        <f>VLOOKUP(A14,'[1]TD-EPA'!$A$5:$H$36,2,0)</f>
        <v>3100000000</v>
      </c>
      <c r="C14" s="24">
        <f>VLOOKUP(A14,'[1]TD-EPA'!$A$5:$H$36,3,0)</f>
        <v>3100000000</v>
      </c>
      <c r="D14" s="24">
        <f>VLOOKUP(A14,'[1]TD-EPA'!$A$5:$H$36,5,0)</f>
        <v>0</v>
      </c>
      <c r="E14" s="25">
        <f t="shared" si="9"/>
        <v>0</v>
      </c>
      <c r="F14" s="23">
        <f>VLOOKUP(A14,'[1]TD-EPA'!$A$5:$H$36,6,0)</f>
        <v>0</v>
      </c>
      <c r="G14" s="25">
        <f t="shared" si="10"/>
        <v>0</v>
      </c>
      <c r="H14" s="23">
        <f>VLOOKUP(A14,'[1]TD-EPA'!$A$5:$H$36,4,0)</f>
        <v>0</v>
      </c>
      <c r="I14" s="23">
        <f>VLOOKUP(A14,'[1]TD-EPA'!$A$5:$H$36,7,0)</f>
        <v>0</v>
      </c>
      <c r="J14" s="23">
        <f t="shared" si="11"/>
        <v>3100000000</v>
      </c>
      <c r="K14" s="25">
        <f t="shared" si="12"/>
        <v>1</v>
      </c>
      <c r="L14" s="23">
        <f t="shared" si="13"/>
        <v>3100000000</v>
      </c>
      <c r="M14" s="25">
        <f t="shared" si="16"/>
        <v>1</v>
      </c>
      <c r="N14" s="23">
        <f t="shared" si="14"/>
        <v>3100000000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VLOOKUP(A15,'[1]TD-EPA'!$A$5:$H$36,2,0)</f>
        <v>463600000</v>
      </c>
      <c r="C15" s="24">
        <f>VLOOKUP(A15,'[1]TD-EPA'!$A$5:$H$36,3,0)</f>
        <v>463600000</v>
      </c>
      <c r="D15" s="24">
        <f>VLOOKUP(A15,'[1]TD-EPA'!$A$5:$H$36,5,0)</f>
        <v>398942214</v>
      </c>
      <c r="E15" s="25">
        <f t="shared" si="9"/>
        <v>0.86053109145815354</v>
      </c>
      <c r="F15" s="23">
        <f>VLOOKUP(A15,'[1]TD-EPA'!$A$5:$H$36,6,0)</f>
        <v>164610323</v>
      </c>
      <c r="G15" s="25">
        <f t="shared" si="10"/>
        <v>0.35506972174288182</v>
      </c>
      <c r="H15" s="23">
        <f>VLOOKUP(A15,'[1]TD-EPA'!$A$5:$H$36,4,0)</f>
        <v>417185622</v>
      </c>
      <c r="I15" s="23">
        <f>VLOOKUP(A15,'[1]TD-EPA'!$A$5:$H$36,7,0)</f>
        <v>164610323</v>
      </c>
      <c r="J15" s="23">
        <f t="shared" si="11"/>
        <v>46414378</v>
      </c>
      <c r="K15" s="25">
        <f t="shared" si="12"/>
        <v>0.10011729508196722</v>
      </c>
      <c r="L15" s="23">
        <f t="shared" si="13"/>
        <v>64657786</v>
      </c>
      <c r="M15" s="25">
        <f t="shared" si="16"/>
        <v>0.13946890854184643</v>
      </c>
      <c r="N15" s="23">
        <f t="shared" si="14"/>
        <v>298989677</v>
      </c>
      <c r="O15" s="25">
        <f t="shared" si="15"/>
        <v>0.64493027825711824</v>
      </c>
    </row>
    <row r="16" spans="1:15" ht="43.5" customHeight="1" x14ac:dyDescent="0.25">
      <c r="A16" s="22" t="s">
        <v>27</v>
      </c>
      <c r="B16" s="23">
        <f>VLOOKUP(A16,'[1]TD-EPA'!$A$5:$H$36,2,0)</f>
        <v>10325333333</v>
      </c>
      <c r="C16" s="24">
        <f>VLOOKUP(A16,'[1]TD-EPA'!$A$5:$H$36,3,0)</f>
        <v>10325333333</v>
      </c>
      <c r="D16" s="24">
        <f>VLOOKUP(A16,'[1]TD-EPA'!$A$5:$H$36,5,0)</f>
        <v>4471147616</v>
      </c>
      <c r="E16" s="25">
        <f t="shared" si="9"/>
        <v>0.43302695146026043</v>
      </c>
      <c r="F16" s="23">
        <f>VLOOKUP(A16,'[1]TD-EPA'!$A$5:$H$36,6,0)</f>
        <v>4429796467</v>
      </c>
      <c r="G16" s="25">
        <f t="shared" si="10"/>
        <v>0.42902212685398444</v>
      </c>
      <c r="H16" s="23">
        <f>VLOOKUP(A16,'[1]TD-EPA'!$A$5:$H$36,4,0)</f>
        <v>10325333333</v>
      </c>
      <c r="I16" s="23">
        <f>VLOOKUP(A16,'[1]TD-EPA'!$A$5:$H$36,7,0)</f>
        <v>4429796467</v>
      </c>
      <c r="J16" s="23">
        <f t="shared" si="11"/>
        <v>0</v>
      </c>
      <c r="K16" s="25">
        <f t="shared" si="12"/>
        <v>0</v>
      </c>
      <c r="L16" s="23">
        <f t="shared" si="13"/>
        <v>5854185717</v>
      </c>
      <c r="M16" s="25">
        <f t="shared" si="16"/>
        <v>0.56697304853973962</v>
      </c>
      <c r="N16" s="23">
        <f t="shared" si="14"/>
        <v>5895536866</v>
      </c>
      <c r="O16" s="25">
        <f t="shared" si="15"/>
        <v>0.57097787314601556</v>
      </c>
    </row>
    <row r="17" spans="1:15" s="18" customFormat="1" ht="15" customHeight="1" x14ac:dyDescent="0.25">
      <c r="A17" s="19" t="s">
        <v>28</v>
      </c>
      <c r="B17" s="20">
        <f>SUM(B18:B19)</f>
        <v>10709950000</v>
      </c>
      <c r="C17" s="20">
        <f t="shared" ref="C17:F17" si="17">SUM(C18:C19)</f>
        <v>10709950000</v>
      </c>
      <c r="D17" s="20">
        <f t="shared" si="17"/>
        <v>10347761460.559999</v>
      </c>
      <c r="E17" s="21">
        <f t="shared" si="9"/>
        <v>0.96618205132236845</v>
      </c>
      <c r="F17" s="20">
        <f t="shared" si="17"/>
        <v>7325635355.9399996</v>
      </c>
      <c r="G17" s="21">
        <f t="shared" si="10"/>
        <v>0.68400275967114688</v>
      </c>
      <c r="H17" s="20">
        <f t="shared" ref="H17:N17" si="18">SUM(H18:H19)</f>
        <v>10446007345.379999</v>
      </c>
      <c r="I17" s="20">
        <f t="shared" si="18"/>
        <v>7204146889.9399996</v>
      </c>
      <c r="J17" s="20">
        <f t="shared" si="18"/>
        <v>263942654.62000084</v>
      </c>
      <c r="K17" s="21">
        <f t="shared" si="12"/>
        <v>2.464462062101138E-2</v>
      </c>
      <c r="L17" s="20">
        <f t="shared" si="18"/>
        <v>362188539.44000053</v>
      </c>
      <c r="M17" s="21">
        <f t="shared" si="16"/>
        <v>3.3817948677631597E-2</v>
      </c>
      <c r="N17" s="20">
        <f t="shared" si="18"/>
        <v>3384314644.0600004</v>
      </c>
      <c r="O17" s="21">
        <f t="shared" si="15"/>
        <v>0.31599724032885312</v>
      </c>
    </row>
    <row r="18" spans="1:15" x14ac:dyDescent="0.25">
      <c r="A18" s="22" t="s">
        <v>29</v>
      </c>
      <c r="B18" s="23">
        <f>VLOOKUP(A18,'[1]TD-EPA'!$A$5:$H$36,2,0)</f>
        <v>50000000</v>
      </c>
      <c r="C18" s="24">
        <f>VLOOKUP(A18,'[1]TD-EPA'!$A$5:$H$36,3,0)</f>
        <v>50000000</v>
      </c>
      <c r="D18" s="24">
        <f>VLOOKUP(A18,'[1]TD-EPA'!$A$5:$H$36,5,0)</f>
        <v>2206000</v>
      </c>
      <c r="E18" s="25">
        <f t="shared" si="9"/>
        <v>4.4119999999999999E-2</v>
      </c>
      <c r="F18" s="23">
        <f>VLOOKUP(A18,'[1]TD-EPA'!$A$5:$H$36,6,0)</f>
        <v>2196000</v>
      </c>
      <c r="G18" s="25">
        <f t="shared" si="10"/>
        <v>4.3920000000000001E-2</v>
      </c>
      <c r="H18" s="23">
        <f>VLOOKUP(A18,'[1]TD-EPA'!$A$5:$H$36,4,0)</f>
        <v>2206000</v>
      </c>
      <c r="I18" s="23">
        <f>VLOOKUP(A18,'[1]TD-EPA'!$A$5:$H$36,7,0)</f>
        <v>2196000</v>
      </c>
      <c r="J18" s="23">
        <f t="shared" si="11"/>
        <v>47794000</v>
      </c>
      <c r="K18" s="25">
        <f t="shared" si="12"/>
        <v>0.95587999999999995</v>
      </c>
      <c r="L18" s="23">
        <f t="shared" si="13"/>
        <v>47794000</v>
      </c>
      <c r="M18" s="25">
        <f t="shared" si="16"/>
        <v>0.95587999999999995</v>
      </c>
      <c r="N18" s="23">
        <f t="shared" si="14"/>
        <v>47804000</v>
      </c>
      <c r="O18" s="25">
        <f t="shared" si="15"/>
        <v>0.95608000000000004</v>
      </c>
    </row>
    <row r="19" spans="1:15" x14ac:dyDescent="0.25">
      <c r="A19" s="22" t="s">
        <v>30</v>
      </c>
      <c r="B19" s="23">
        <f>VLOOKUP(A19,'[1]TD-EPA'!$A$5:$H$36,2,0)</f>
        <v>10659950000</v>
      </c>
      <c r="C19" s="24">
        <f>VLOOKUP(A19,'[1]TD-EPA'!$A$5:$H$36,3,0)</f>
        <v>10659950000</v>
      </c>
      <c r="D19" s="24">
        <f>VLOOKUP(A19,'[1]TD-EPA'!$A$5:$H$36,5,0)</f>
        <v>10345555460.559999</v>
      </c>
      <c r="E19" s="25">
        <f t="shared" si="9"/>
        <v>0.97050694051660646</v>
      </c>
      <c r="F19" s="23">
        <f>VLOOKUP(A19,'[1]TD-EPA'!$A$5:$H$36,6,0)</f>
        <v>7323439355.9399996</v>
      </c>
      <c r="G19" s="25">
        <f t="shared" si="10"/>
        <v>0.68700503810430624</v>
      </c>
      <c r="H19" s="23">
        <f>VLOOKUP(A19,'[1]TD-EPA'!$A$5:$H$36,4,0)</f>
        <v>10443801345.379999</v>
      </c>
      <c r="I19" s="23">
        <f>VLOOKUP(A19,'[1]TD-EPA'!$A$5:$H$36,7,0)</f>
        <v>7201950889.9399996</v>
      </c>
      <c r="J19" s="23">
        <f t="shared" si="11"/>
        <v>216148654.62000084</v>
      </c>
      <c r="K19" s="25">
        <f t="shared" si="12"/>
        <v>2.0276704357900445E-2</v>
      </c>
      <c r="L19" s="23">
        <f t="shared" si="13"/>
        <v>314394539.44000053</v>
      </c>
      <c r="M19" s="25">
        <f t="shared" si="16"/>
        <v>2.9493059483393501E-2</v>
      </c>
      <c r="N19" s="23">
        <f t="shared" si="14"/>
        <v>3336510644.0600004</v>
      </c>
      <c r="O19" s="25">
        <f t="shared" si="15"/>
        <v>0.31299496189569376</v>
      </c>
    </row>
    <row r="20" spans="1:15" s="18" customFormat="1" ht="15.75" x14ac:dyDescent="0.25">
      <c r="A20" s="19" t="s">
        <v>31</v>
      </c>
      <c r="B20" s="20">
        <f>SUM(B21:B26)</f>
        <v>5364000000</v>
      </c>
      <c r="C20" s="20">
        <f>SUM(C21:C26)</f>
        <v>5364000000</v>
      </c>
      <c r="D20" s="20">
        <f>SUM(D21:D26)</f>
        <v>1290780029.6100001</v>
      </c>
      <c r="E20" s="21">
        <f t="shared" si="9"/>
        <v>0.24063758941275171</v>
      </c>
      <c r="F20" s="20">
        <f>SUM(F21:F26)</f>
        <v>1142553772.71</v>
      </c>
      <c r="G20" s="21">
        <f t="shared" si="10"/>
        <v>0.21300405904362416</v>
      </c>
      <c r="H20" s="20">
        <f>SUM(H21:H26)</f>
        <v>1833218752.6900001</v>
      </c>
      <c r="I20" s="20">
        <f>SUM(I21:I26)</f>
        <v>1132010159.71</v>
      </c>
      <c r="J20" s="20">
        <f>SUM(J21:J26)</f>
        <v>3530781247.3099999</v>
      </c>
      <c r="K20" s="21">
        <f t="shared" si="12"/>
        <v>0.65823662328672627</v>
      </c>
      <c r="L20" s="20">
        <f>SUM(L21:L26)</f>
        <v>4073219970.3899999</v>
      </c>
      <c r="M20" s="21">
        <f t="shared" si="16"/>
        <v>0.75936241058724829</v>
      </c>
      <c r="N20" s="20">
        <f>SUM(N21:N26)</f>
        <v>4221446227.29</v>
      </c>
      <c r="O20" s="21">
        <f t="shared" si="15"/>
        <v>0.78699594095637582</v>
      </c>
    </row>
    <row r="21" spans="1:15" x14ac:dyDescent="0.25">
      <c r="A21" s="22" t="s">
        <v>32</v>
      </c>
      <c r="B21" s="23">
        <f>VLOOKUP(A21,'[1]TD-EPA'!$A$5:$H$36,2,0)</f>
        <v>177000000</v>
      </c>
      <c r="C21" s="24">
        <f>VLOOKUP(A21,'[1]TD-EPA'!$A$5:$H$36,3,0)</f>
        <v>177000000</v>
      </c>
      <c r="D21" s="24">
        <f>VLOOKUP(A21,'[1]TD-EPA'!$A$5:$H$36,5,0)</f>
        <v>705179</v>
      </c>
      <c r="E21" s="25">
        <f t="shared" si="9"/>
        <v>3.9840621468926552E-3</v>
      </c>
      <c r="F21" s="23">
        <f>VLOOKUP(A21,'[1]TD-EPA'!$A$5:$H$36,6,0)</f>
        <v>0</v>
      </c>
      <c r="G21" s="25">
        <f t="shared" si="10"/>
        <v>0</v>
      </c>
      <c r="H21" s="23">
        <f>VLOOKUP(A21,'[1]TD-EPA'!$A$5:$H$36,4,0)</f>
        <v>705179</v>
      </c>
      <c r="I21" s="23">
        <f>VLOOKUP(A21,'[1]TD-EPA'!$A$5:$H$36,7,0)</f>
        <v>0</v>
      </c>
      <c r="J21" s="23">
        <f t="shared" si="11"/>
        <v>176294821</v>
      </c>
      <c r="K21" s="25">
        <f t="shared" si="12"/>
        <v>0.99601593785310738</v>
      </c>
      <c r="L21" s="23">
        <f t="shared" si="13"/>
        <v>176294821</v>
      </c>
      <c r="M21" s="25">
        <f t="shared" si="16"/>
        <v>0.99601593785310738</v>
      </c>
      <c r="N21" s="23">
        <f t="shared" si="14"/>
        <v>177000000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VLOOKUP(A22,'[1]TD-EPA'!$A$5:$H$36,2,0)</f>
        <v>66000000</v>
      </c>
      <c r="C22" s="24">
        <f>VLOOKUP(A22,'[1]TD-EPA'!$A$5:$H$36,3,0)</f>
        <v>66000000</v>
      </c>
      <c r="D22" s="24">
        <f>VLOOKUP(A22,'[1]TD-EPA'!$A$5:$H$36,5,0)</f>
        <v>262948</v>
      </c>
      <c r="E22" s="25">
        <f t="shared" si="9"/>
        <v>3.9840606060606064E-3</v>
      </c>
      <c r="F22" s="23">
        <f>VLOOKUP(A22,'[1]TD-EPA'!$A$5:$H$36,6,0)</f>
        <v>0</v>
      </c>
      <c r="G22" s="25">
        <f t="shared" si="10"/>
        <v>0</v>
      </c>
      <c r="H22" s="23">
        <f>VLOOKUP(A22,'[1]TD-EPA'!$A$5:$H$36,4,0)</f>
        <v>262948</v>
      </c>
      <c r="I22" s="23">
        <f>VLOOKUP(A22,'[1]TD-EPA'!$A$5:$H$36,7,0)</f>
        <v>0</v>
      </c>
      <c r="J22" s="23">
        <f t="shared" si="11"/>
        <v>65737052</v>
      </c>
      <c r="K22" s="25">
        <f t="shared" si="12"/>
        <v>0.9960159393939394</v>
      </c>
      <c r="L22" s="23">
        <f t="shared" si="13"/>
        <v>65737052</v>
      </c>
      <c r="M22" s="25">
        <f t="shared" si="16"/>
        <v>0.9960159393939394</v>
      </c>
      <c r="N22" s="23">
        <f t="shared" si="14"/>
        <v>66000000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VLOOKUP(A23,'[1]TD-EPA'!$A$5:$H$36,2,0)</f>
        <v>162000000</v>
      </c>
      <c r="C23" s="24">
        <f>VLOOKUP(A23,'[1]TD-EPA'!$A$5:$H$36,3,0)</f>
        <v>162000000</v>
      </c>
      <c r="D23" s="24">
        <f>VLOOKUP(A23,'[1]TD-EPA'!$A$5:$H$36,5,0)</f>
        <v>645419</v>
      </c>
      <c r="E23" s="25">
        <f t="shared" si="9"/>
        <v>3.9840679012345679E-3</v>
      </c>
      <c r="F23" s="23">
        <f>VLOOKUP(A23,'[1]TD-EPA'!$A$5:$H$36,6,0)</f>
        <v>0</v>
      </c>
      <c r="G23" s="25">
        <f t="shared" si="10"/>
        <v>0</v>
      </c>
      <c r="H23" s="23">
        <f>VLOOKUP(A23,'[1]TD-EPA'!$A$5:$H$36,4,0)</f>
        <v>645419</v>
      </c>
      <c r="I23" s="23">
        <f>VLOOKUP(A23,'[1]TD-EPA'!$A$5:$H$36,7,0)</f>
        <v>0</v>
      </c>
      <c r="J23" s="23">
        <f t="shared" si="11"/>
        <v>161354581</v>
      </c>
      <c r="K23" s="25">
        <f t="shared" si="12"/>
        <v>0.99601593209876538</v>
      </c>
      <c r="L23" s="23">
        <f t="shared" si="13"/>
        <v>161354581</v>
      </c>
      <c r="M23" s="25">
        <f t="shared" si="16"/>
        <v>0.99601593209876538</v>
      </c>
      <c r="N23" s="23">
        <f t="shared" si="14"/>
        <v>162000000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VLOOKUP(A24,'[1]TD-EPA'!$A$5:$H$36,2,0)</f>
        <v>352000000</v>
      </c>
      <c r="C24" s="24">
        <f>VLOOKUP(A24,'[1]TD-EPA'!$A$5:$H$36,3,0)</f>
        <v>352000000</v>
      </c>
      <c r="D24" s="24">
        <f>VLOOKUP(A24,'[1]TD-EPA'!$A$5:$H$36,5,0)</f>
        <v>179554421.91999999</v>
      </c>
      <c r="E24" s="25">
        <f t="shared" si="9"/>
        <v>0.51009778954545448</v>
      </c>
      <c r="F24" s="23">
        <f>VLOOKUP(A24,'[1]TD-EPA'!$A$5:$H$36,6,0)</f>
        <v>179386600.31999999</v>
      </c>
      <c r="G24" s="25">
        <f t="shared" si="10"/>
        <v>0.50962102363636363</v>
      </c>
      <c r="H24" s="23">
        <f>VLOOKUP(A24,'[1]TD-EPA'!$A$5:$H$36,4,0)</f>
        <v>352000000</v>
      </c>
      <c r="I24" s="23">
        <f>VLOOKUP(A24,'[1]TD-EPA'!$A$5:$H$36,7,0)</f>
        <v>179386600.31999999</v>
      </c>
      <c r="J24" s="23">
        <f t="shared" si="11"/>
        <v>0</v>
      </c>
      <c r="K24" s="25">
        <f t="shared" si="12"/>
        <v>0</v>
      </c>
      <c r="L24" s="23">
        <f t="shared" si="13"/>
        <v>172445578.08000001</v>
      </c>
      <c r="M24" s="25">
        <f t="shared" si="16"/>
        <v>0.48990221045454552</v>
      </c>
      <c r="N24" s="23">
        <f t="shared" si="14"/>
        <v>172613399.68000001</v>
      </c>
      <c r="O24" s="25">
        <f t="shared" si="15"/>
        <v>0.49037897636363637</v>
      </c>
    </row>
    <row r="25" spans="1:15" ht="28.5" x14ac:dyDescent="0.25">
      <c r="A25" s="22" t="s">
        <v>36</v>
      </c>
      <c r="B25" s="23">
        <f>VLOOKUP(A25,'[1]TD-EPA'!$A$5:$H$36,2,0)</f>
        <v>607000000</v>
      </c>
      <c r="C25" s="24">
        <f>VLOOKUP(A25,'[1]TD-EPA'!$A$5:$H$36,3,0)</f>
        <v>607000000</v>
      </c>
      <c r="D25" s="24">
        <f>VLOOKUP(A25,'[1]TD-EPA'!$A$5:$H$36,5,0)</f>
        <v>309220926</v>
      </c>
      <c r="E25" s="25">
        <f t="shared" si="9"/>
        <v>0.50942491927512357</v>
      </c>
      <c r="F25" s="23">
        <f>VLOOKUP(A25,'[1]TD-EPA'!$A$5:$H$36,6,0)</f>
        <v>259188720</v>
      </c>
      <c r="G25" s="25">
        <f t="shared" si="10"/>
        <v>0.42699953871499174</v>
      </c>
      <c r="H25" s="23">
        <f>VLOOKUP(A25,'[1]TD-EPA'!$A$5:$H$36,4,0)</f>
        <v>607000000</v>
      </c>
      <c r="I25" s="23">
        <f>VLOOKUP(A25,'[1]TD-EPA'!$A$5:$H$36,7,0)</f>
        <v>259188720</v>
      </c>
      <c r="J25" s="23">
        <f t="shared" si="11"/>
        <v>0</v>
      </c>
      <c r="K25" s="25">
        <f t="shared" si="12"/>
        <v>0</v>
      </c>
      <c r="L25" s="23">
        <f t="shared" si="13"/>
        <v>297779074</v>
      </c>
      <c r="M25" s="25">
        <f t="shared" si="16"/>
        <v>0.49057508072487643</v>
      </c>
      <c r="N25" s="23">
        <f t="shared" si="14"/>
        <v>347811280</v>
      </c>
      <c r="O25" s="25">
        <f t="shared" si="15"/>
        <v>0.57300046128500826</v>
      </c>
    </row>
    <row r="26" spans="1:15" x14ac:dyDescent="0.25">
      <c r="A26" s="22" t="s">
        <v>37</v>
      </c>
      <c r="B26" s="23">
        <f>VLOOKUP(A26,'[1]TD-EPA'!$A$5:$H$36,2,0)</f>
        <v>4000000000</v>
      </c>
      <c r="C26" s="24">
        <f>VLOOKUP(A26,'[1]TD-EPA'!$A$5:$H$36,3,0)</f>
        <v>4000000000</v>
      </c>
      <c r="D26" s="24">
        <f>VLOOKUP(A26,'[1]TD-EPA'!$A$5:$H$36,5,0)</f>
        <v>800391135.69000006</v>
      </c>
      <c r="E26" s="25">
        <f t="shared" si="9"/>
        <v>0.20009778392250002</v>
      </c>
      <c r="F26" s="23">
        <f>VLOOKUP(A26,'[1]TD-EPA'!$A$5:$H$36,6,0)</f>
        <v>703978452.38999999</v>
      </c>
      <c r="G26" s="25">
        <f t="shared" si="10"/>
        <v>0.1759946130975</v>
      </c>
      <c r="H26" s="23">
        <f>VLOOKUP(A26,'[1]TD-EPA'!$A$5:$H$36,4,0)</f>
        <v>872605206.69000006</v>
      </c>
      <c r="I26" s="23">
        <f>VLOOKUP(A26,'[1]TD-EPA'!$A$5:$H$36,7,0)</f>
        <v>693434839.38999999</v>
      </c>
      <c r="J26" s="23">
        <f t="shared" si="11"/>
        <v>3127394793.3099999</v>
      </c>
      <c r="K26" s="25">
        <f t="shared" si="12"/>
        <v>0.78184869832750004</v>
      </c>
      <c r="L26" s="23">
        <f t="shared" si="13"/>
        <v>3199608864.3099999</v>
      </c>
      <c r="M26" s="25">
        <f t="shared" si="16"/>
        <v>0.79990221607750001</v>
      </c>
      <c r="N26" s="23">
        <f t="shared" si="14"/>
        <v>3296021547.6100001</v>
      </c>
      <c r="O26" s="25">
        <f t="shared" si="15"/>
        <v>0.82400538690250003</v>
      </c>
    </row>
    <row r="27" spans="1:15" s="18" customFormat="1" ht="15.75" customHeight="1" x14ac:dyDescent="0.25">
      <c r="A27" s="15" t="s">
        <v>38</v>
      </c>
      <c r="B27" s="16">
        <f>SUM(B28:B38)</f>
        <v>87360813320</v>
      </c>
      <c r="C27" s="16">
        <f t="shared" ref="C27:F27" si="19">SUM(C28:C38)</f>
        <v>90279213320</v>
      </c>
      <c r="D27" s="16">
        <f t="shared" si="19"/>
        <v>70295484083.149994</v>
      </c>
      <c r="E27" s="17">
        <f t="shared" si="9"/>
        <v>0.77864528830112312</v>
      </c>
      <c r="F27" s="16">
        <f t="shared" si="19"/>
        <v>25474934817.5</v>
      </c>
      <c r="G27" s="17">
        <f t="shared" si="10"/>
        <v>0.28217940631807004</v>
      </c>
      <c r="H27" s="16">
        <f>SUM(H28:H38)</f>
        <v>81332462654.479996</v>
      </c>
      <c r="I27" s="16">
        <f t="shared" ref="I27:N27" si="20">SUM(I28:I38)</f>
        <v>25470888797.5</v>
      </c>
      <c r="J27" s="16">
        <f t="shared" si="20"/>
        <v>8946750665.5200005</v>
      </c>
      <c r="K27" s="17">
        <f t="shared" si="12"/>
        <v>9.9100893068349127E-2</v>
      </c>
      <c r="L27" s="16">
        <f t="shared" si="20"/>
        <v>19983729236.849998</v>
      </c>
      <c r="M27" s="17">
        <f t="shared" si="16"/>
        <v>0.2213547116988768</v>
      </c>
      <c r="N27" s="16">
        <f t="shared" si="20"/>
        <v>64804278502.5</v>
      </c>
      <c r="O27" s="17">
        <f t="shared" si="15"/>
        <v>0.71782059368192996</v>
      </c>
    </row>
    <row r="28" spans="1:15" ht="28.5" x14ac:dyDescent="0.25">
      <c r="A28" s="22" t="s">
        <v>39</v>
      </c>
      <c r="B28" s="23">
        <f>VLOOKUP(A28,'[1]TD-EPA'!$A$5:$H$36,2,0)</f>
        <v>515000000</v>
      </c>
      <c r="C28" s="24">
        <f>VLOOKUP(A28,'[1]TD-EPA'!$A$5:$H$36,3,0)</f>
        <v>515000000</v>
      </c>
      <c r="D28" s="24">
        <f>VLOOKUP(A28,'[1]TD-EPA'!$A$5:$H$36,5,0)</f>
        <v>389712631</v>
      </c>
      <c r="E28" s="25">
        <f t="shared" si="9"/>
        <v>0.75672355533980584</v>
      </c>
      <c r="F28" s="23">
        <f>VLOOKUP(A28,'[1]TD-EPA'!$A$5:$H$36,6,0)</f>
        <v>0</v>
      </c>
      <c r="G28" s="25">
        <f t="shared" si="10"/>
        <v>0</v>
      </c>
      <c r="H28" s="23">
        <f>VLOOKUP(A28,'[1]TD-EPA'!$A$5:$H$36,4,0)</f>
        <v>509946000</v>
      </c>
      <c r="I28" s="23">
        <f>VLOOKUP(A28,'[1]TD-EPA'!$A$5:$H$36,7,0)</f>
        <v>0</v>
      </c>
      <c r="J28" s="23">
        <f t="shared" si="11"/>
        <v>5054000</v>
      </c>
      <c r="K28" s="25">
        <f t="shared" si="12"/>
        <v>9.8135922330097082E-3</v>
      </c>
      <c r="L28" s="23">
        <f t="shared" si="13"/>
        <v>125287369</v>
      </c>
      <c r="M28" s="25">
        <f t="shared" si="16"/>
        <v>0.24327644466019419</v>
      </c>
      <c r="N28" s="23">
        <f t="shared" si="14"/>
        <v>515000000</v>
      </c>
      <c r="O28" s="25">
        <f t="shared" si="15"/>
        <v>1</v>
      </c>
    </row>
    <row r="29" spans="1:15" ht="57" x14ac:dyDescent="0.25">
      <c r="A29" s="22" t="s">
        <v>40</v>
      </c>
      <c r="B29" s="23">
        <f>VLOOKUP(A29,'[1]TD-EPA'!$A$5:$H$36,2,0)</f>
        <v>1079000000</v>
      </c>
      <c r="C29" s="24">
        <f>VLOOKUP(A29,'[1]TD-EPA'!$A$5:$H$36,3,0)</f>
        <v>1079000000</v>
      </c>
      <c r="D29" s="24">
        <f>VLOOKUP(A29,'[1]TD-EPA'!$A$5:$H$36,5,0)</f>
        <v>1030277664</v>
      </c>
      <c r="E29" s="25">
        <f t="shared" si="9"/>
        <v>0.95484491566265062</v>
      </c>
      <c r="F29" s="23">
        <f>VLOOKUP(A29,'[1]TD-EPA'!$A$5:$H$36,6,0)</f>
        <v>356063120</v>
      </c>
      <c r="G29" s="25">
        <f t="shared" si="10"/>
        <v>0.32999362372567193</v>
      </c>
      <c r="H29" s="23">
        <f>VLOOKUP(A29,'[1]TD-EPA'!$A$5:$H$36,4,0)</f>
        <v>1075584726</v>
      </c>
      <c r="I29" s="23">
        <f>VLOOKUP(A29,'[1]TD-EPA'!$A$5:$H$36,7,0)</f>
        <v>355916698</v>
      </c>
      <c r="J29" s="23">
        <f t="shared" si="11"/>
        <v>3415274</v>
      </c>
      <c r="K29" s="25">
        <f t="shared" si="12"/>
        <v>3.1652215013901761E-3</v>
      </c>
      <c r="L29" s="23">
        <f t="shared" si="13"/>
        <v>48722336</v>
      </c>
      <c r="M29" s="25">
        <f t="shared" si="16"/>
        <v>4.5155084337349397E-2</v>
      </c>
      <c r="N29" s="23">
        <f t="shared" si="14"/>
        <v>722936880</v>
      </c>
      <c r="O29" s="25">
        <f t="shared" si="15"/>
        <v>0.67000637627432813</v>
      </c>
    </row>
    <row r="30" spans="1:15" ht="57" x14ac:dyDescent="0.25">
      <c r="A30" s="22" t="s">
        <v>41</v>
      </c>
      <c r="B30" s="23">
        <f>VLOOKUP(A30,'[1]TD-EPA'!$A$5:$H$36,2,0)</f>
        <v>2249711250</v>
      </c>
      <c r="C30" s="24">
        <f>VLOOKUP(A30,'[1]TD-EPA'!$A$5:$H$36,3,0)</f>
        <v>5168111250</v>
      </c>
      <c r="D30" s="24">
        <f>VLOOKUP(A30,'[1]TD-EPA'!$A$5:$H$36,5,0)</f>
        <v>3474752690</v>
      </c>
      <c r="E30" s="25">
        <f t="shared" si="9"/>
        <v>0.67234479327433205</v>
      </c>
      <c r="F30" s="23">
        <f>VLOOKUP(A30,'[1]TD-EPA'!$A$5:$H$36,6,0)</f>
        <v>1141076617</v>
      </c>
      <c r="G30" s="25">
        <f t="shared" si="10"/>
        <v>0.22079180609744034</v>
      </c>
      <c r="H30" s="23">
        <f>VLOOKUP(A30,'[1]TD-EPA'!$A$5:$H$36,4,0)</f>
        <v>4421783271</v>
      </c>
      <c r="I30" s="23">
        <f>VLOOKUP(A30,'[1]TD-EPA'!$A$5:$H$36,7,0)</f>
        <v>1141076617</v>
      </c>
      <c r="J30" s="23">
        <f t="shared" si="11"/>
        <v>746327979</v>
      </c>
      <c r="K30" s="25">
        <f t="shared" si="12"/>
        <v>0.14441019995457721</v>
      </c>
      <c r="L30" s="23">
        <f t="shared" si="13"/>
        <v>1693358560</v>
      </c>
      <c r="M30" s="25">
        <f t="shared" si="16"/>
        <v>0.32765520672566789</v>
      </c>
      <c r="N30" s="23">
        <f t="shared" si="14"/>
        <v>4027034633</v>
      </c>
      <c r="O30" s="25">
        <f t="shared" si="15"/>
        <v>0.77920819390255969</v>
      </c>
    </row>
    <row r="31" spans="1:15" ht="71.25" x14ac:dyDescent="0.25">
      <c r="A31" s="22" t="s">
        <v>42</v>
      </c>
      <c r="B31" s="23">
        <f>VLOOKUP(A31,'[1]TD-EPA'!$A$5:$H$36,2,0)</f>
        <v>20812841917</v>
      </c>
      <c r="C31" s="24">
        <f>VLOOKUP(A31,'[1]TD-EPA'!$A$5:$H$36,3,0)</f>
        <v>20812841917</v>
      </c>
      <c r="D31" s="24">
        <f>VLOOKUP(A31,'[1]TD-EPA'!$A$5:$H$36,5,0)</f>
        <v>13404732132.15</v>
      </c>
      <c r="E31" s="25">
        <f t="shared" si="9"/>
        <v>0.64406063264243452</v>
      </c>
      <c r="F31" s="23">
        <f>VLOOKUP(A31,'[1]TD-EPA'!$A$5:$H$36,6,0)</f>
        <v>4634136301</v>
      </c>
      <c r="G31" s="25">
        <f t="shared" si="10"/>
        <v>0.22265754573453142</v>
      </c>
      <c r="H31" s="23">
        <f>VLOOKUP(A31,'[1]TD-EPA'!$A$5:$H$36,4,0)</f>
        <v>17628108688.48</v>
      </c>
      <c r="I31" s="23">
        <f>VLOOKUP(A31,'[1]TD-EPA'!$A$5:$H$36,7,0)</f>
        <v>4634136301</v>
      </c>
      <c r="J31" s="23">
        <f t="shared" si="11"/>
        <v>3184733228.5200005</v>
      </c>
      <c r="K31" s="25">
        <f t="shared" si="12"/>
        <v>0.15301770134133866</v>
      </c>
      <c r="L31" s="23">
        <f t="shared" si="13"/>
        <v>7408109784.8500004</v>
      </c>
      <c r="M31" s="25">
        <f t="shared" si="16"/>
        <v>0.35593936735756548</v>
      </c>
      <c r="N31" s="23">
        <f t="shared" si="14"/>
        <v>16178705616</v>
      </c>
      <c r="O31" s="25">
        <f t="shared" si="15"/>
        <v>0.77734245426546855</v>
      </c>
    </row>
    <row r="32" spans="1:15" ht="85.5" x14ac:dyDescent="0.25">
      <c r="A32" s="22" t="s">
        <v>43</v>
      </c>
      <c r="B32" s="23">
        <f>VLOOKUP(A32,'[1]TD-EPA'!$A$5:$H$36,2,0)</f>
        <v>5885923000</v>
      </c>
      <c r="C32" s="24">
        <f>VLOOKUP(A32,'[1]TD-EPA'!$A$5:$H$36,3,0)</f>
        <v>5885923000</v>
      </c>
      <c r="D32" s="24">
        <f>VLOOKUP(A32,'[1]TD-EPA'!$A$5:$H$36,5,0)</f>
        <v>5330993490</v>
      </c>
      <c r="E32" s="25">
        <f t="shared" si="9"/>
        <v>0.90571920325835042</v>
      </c>
      <c r="F32" s="23">
        <f>VLOOKUP(A32,'[1]TD-EPA'!$A$5:$H$36,6,0)</f>
        <v>1601343086</v>
      </c>
      <c r="G32" s="25">
        <f t="shared" si="10"/>
        <v>0.27206320673919793</v>
      </c>
      <c r="H32" s="23">
        <f>VLOOKUP(A32,'[1]TD-EPA'!$A$5:$H$36,4,0)</f>
        <v>5729280651</v>
      </c>
      <c r="I32" s="23">
        <f>VLOOKUP(A32,'[1]TD-EPA'!$A$5:$H$36,7,0)</f>
        <v>1601072586</v>
      </c>
      <c r="J32" s="23">
        <f t="shared" si="11"/>
        <v>156642349</v>
      </c>
      <c r="K32" s="25">
        <f t="shared" si="12"/>
        <v>2.6613047605277881E-2</v>
      </c>
      <c r="L32" s="23">
        <f t="shared" si="13"/>
        <v>554929510</v>
      </c>
      <c r="M32" s="25">
        <f t="shared" si="16"/>
        <v>9.428079674164952E-2</v>
      </c>
      <c r="N32" s="23">
        <f t="shared" si="14"/>
        <v>4284579914</v>
      </c>
      <c r="O32" s="25">
        <f t="shared" si="15"/>
        <v>0.72793679326080207</v>
      </c>
    </row>
    <row r="33" spans="1:15" ht="71.25" x14ac:dyDescent="0.25">
      <c r="A33" s="22" t="s">
        <v>44</v>
      </c>
      <c r="B33" s="23">
        <f>VLOOKUP(A33,'[1]TD-EPA'!$A$5:$H$36,2,0)</f>
        <v>4281545000</v>
      </c>
      <c r="C33" s="24">
        <f>VLOOKUP(A33,'[1]TD-EPA'!$A$5:$H$36,3,0)</f>
        <v>4281545000</v>
      </c>
      <c r="D33" s="24">
        <f>VLOOKUP(A33,'[1]TD-EPA'!$A$5:$H$36,5,0)</f>
        <v>3956286034</v>
      </c>
      <c r="E33" s="25">
        <f t="shared" si="9"/>
        <v>0.92403233739222645</v>
      </c>
      <c r="F33" s="23">
        <f>VLOOKUP(A33,'[1]TD-EPA'!$A$5:$H$36,6,0)</f>
        <v>1466212926</v>
      </c>
      <c r="G33" s="25">
        <f t="shared" si="10"/>
        <v>0.34244949568438499</v>
      </c>
      <c r="H33" s="23">
        <f>VLOOKUP(A33,'[1]TD-EPA'!$A$5:$H$36,4,0)</f>
        <v>4168984564</v>
      </c>
      <c r="I33" s="23">
        <f>VLOOKUP(A33,'[1]TD-EPA'!$A$5:$H$36,7,0)</f>
        <v>1466068037</v>
      </c>
      <c r="J33" s="23">
        <f t="shared" si="11"/>
        <v>112560436</v>
      </c>
      <c r="K33" s="25">
        <f t="shared" si="12"/>
        <v>2.6289677207643504E-2</v>
      </c>
      <c r="L33" s="23">
        <f t="shared" si="13"/>
        <v>325258966</v>
      </c>
      <c r="M33" s="25">
        <f t="shared" si="16"/>
        <v>7.5967662607773601E-2</v>
      </c>
      <c r="N33" s="23">
        <f t="shared" si="14"/>
        <v>2815332074</v>
      </c>
      <c r="O33" s="25">
        <f t="shared" si="15"/>
        <v>0.65755050431561501</v>
      </c>
    </row>
    <row r="34" spans="1:15" ht="42.75" x14ac:dyDescent="0.25">
      <c r="A34" s="22" t="s">
        <v>45</v>
      </c>
      <c r="B34" s="23">
        <f>VLOOKUP(A34,'[1]TD-EPA'!$A$5:$H$36,2,0)</f>
        <v>9161813320</v>
      </c>
      <c r="C34" s="24">
        <f>VLOOKUP(A34,'[1]TD-EPA'!$A$5:$H$36,3,0)</f>
        <v>9161813320</v>
      </c>
      <c r="D34" s="24">
        <f>VLOOKUP(A34,'[1]TD-EPA'!$A$5:$H$36,5,0)</f>
        <v>7661169548</v>
      </c>
      <c r="E34" s="25">
        <f t="shared" si="9"/>
        <v>0.83620668533770126</v>
      </c>
      <c r="F34" s="23">
        <f>VLOOKUP(A34,'[1]TD-EPA'!$A$5:$H$36,6,0)</f>
        <v>2709529694</v>
      </c>
      <c r="G34" s="25">
        <f t="shared" si="10"/>
        <v>0.29574163971286854</v>
      </c>
      <c r="H34" s="23">
        <f>VLOOKUP(A34,'[1]TD-EPA'!$A$5:$H$36,4,0)</f>
        <v>9004870415</v>
      </c>
      <c r="I34" s="23">
        <f>VLOOKUP(A34,'[1]TD-EPA'!$A$5:$H$36,7,0)</f>
        <v>2709529694</v>
      </c>
      <c r="J34" s="23">
        <f t="shared" si="11"/>
        <v>156942905</v>
      </c>
      <c r="K34" s="25">
        <f t="shared" si="12"/>
        <v>1.7130113823362644E-2</v>
      </c>
      <c r="L34" s="23">
        <f t="shared" si="13"/>
        <v>1500643772</v>
      </c>
      <c r="M34" s="25">
        <f t="shared" si="16"/>
        <v>0.16379331466229874</v>
      </c>
      <c r="N34" s="23">
        <f t="shared" si="14"/>
        <v>6452283626</v>
      </c>
      <c r="O34" s="25">
        <f t="shared" si="15"/>
        <v>0.7042583602871314</v>
      </c>
    </row>
    <row r="35" spans="1:15" ht="42.75" x14ac:dyDescent="0.25">
      <c r="A35" s="22" t="s">
        <v>46</v>
      </c>
      <c r="B35" s="23">
        <f>VLOOKUP(A35,'[1]TD-EPA'!$A$5:$H$36,2,0)</f>
        <v>21633000000</v>
      </c>
      <c r="C35" s="24">
        <f>VLOOKUP(A35,'[1]TD-EPA'!$A$5:$H$36,3,0)</f>
        <v>21633000000</v>
      </c>
      <c r="D35" s="24">
        <f>VLOOKUP(A35,'[1]TD-EPA'!$A$5:$H$36,5,0)</f>
        <v>17429490367</v>
      </c>
      <c r="E35" s="25">
        <f t="shared" si="9"/>
        <v>0.80568993514537979</v>
      </c>
      <c r="F35" s="23">
        <f>VLOOKUP(A35,'[1]TD-EPA'!$A$5:$H$36,6,0)</f>
        <v>6824550125.3299999</v>
      </c>
      <c r="G35" s="25">
        <f t="shared" si="10"/>
        <v>0.31546942751028523</v>
      </c>
      <c r="H35" s="23">
        <f>VLOOKUP(A35,'[1]TD-EPA'!$A$5:$H$36,4,0)</f>
        <v>18611510970</v>
      </c>
      <c r="I35" s="23">
        <f>VLOOKUP(A35,'[1]TD-EPA'!$A$5:$H$36,7,0)</f>
        <v>6821065916.3299999</v>
      </c>
      <c r="J35" s="23">
        <f t="shared" si="11"/>
        <v>3021489030</v>
      </c>
      <c r="K35" s="25">
        <f t="shared" si="12"/>
        <v>0.13967036610733602</v>
      </c>
      <c r="L35" s="23">
        <f t="shared" si="13"/>
        <v>4203509633</v>
      </c>
      <c r="M35" s="25">
        <f t="shared" si="16"/>
        <v>0.19431006485462027</v>
      </c>
      <c r="N35" s="23">
        <f t="shared" si="14"/>
        <v>14808449874.67</v>
      </c>
      <c r="O35" s="25">
        <f t="shared" si="15"/>
        <v>0.68453057248971483</v>
      </c>
    </row>
    <row r="36" spans="1:15" ht="57" x14ac:dyDescent="0.25">
      <c r="A36" s="22" t="s">
        <v>47</v>
      </c>
      <c r="B36" s="23">
        <f>VLOOKUP(A36,'[1]TD-EPA'!$A$5:$H$36,2,0)</f>
        <v>2988390000</v>
      </c>
      <c r="C36" s="24">
        <f>VLOOKUP(A36,'[1]TD-EPA'!$A$5:$H$36,3,0)</f>
        <v>2988390000</v>
      </c>
      <c r="D36" s="24">
        <f>VLOOKUP(A36,'[1]TD-EPA'!$A$5:$H$36,5,0)</f>
        <v>1784966895</v>
      </c>
      <c r="E36" s="25">
        <f t="shared" si="9"/>
        <v>0.59730051800467809</v>
      </c>
      <c r="F36" s="23">
        <f>VLOOKUP(A36,'[1]TD-EPA'!$A$5:$H$36,6,0)</f>
        <v>848265917</v>
      </c>
      <c r="G36" s="25">
        <f t="shared" si="10"/>
        <v>0.28385381994987269</v>
      </c>
      <c r="H36" s="23">
        <f>VLOOKUP(A36,'[1]TD-EPA'!$A$5:$H$36,4,0)</f>
        <v>2831230628</v>
      </c>
      <c r="I36" s="23">
        <f>VLOOKUP(A36,'[1]TD-EPA'!$A$5:$H$36,7,0)</f>
        <v>848265917</v>
      </c>
      <c r="J36" s="23">
        <f t="shared" si="11"/>
        <v>157159372</v>
      </c>
      <c r="K36" s="25">
        <f t="shared" si="12"/>
        <v>5.2589980558093156E-2</v>
      </c>
      <c r="L36" s="23">
        <f t="shared" si="13"/>
        <v>1203423105</v>
      </c>
      <c r="M36" s="25">
        <f t="shared" si="16"/>
        <v>0.40269948199532191</v>
      </c>
      <c r="N36" s="23">
        <f t="shared" si="14"/>
        <v>2140124083</v>
      </c>
      <c r="O36" s="25">
        <f t="shared" si="15"/>
        <v>0.71614618005012731</v>
      </c>
    </row>
    <row r="37" spans="1:15" ht="57" x14ac:dyDescent="0.25">
      <c r="A37" s="22" t="s">
        <v>48</v>
      </c>
      <c r="B37" s="23">
        <f>VLOOKUP(A37,'[1]TD-EPA'!$A$5:$H$36,2,0)</f>
        <v>891000000</v>
      </c>
      <c r="C37" s="24">
        <f>VLOOKUP(A37,'[1]TD-EPA'!$A$5:$H$36,3,0)</f>
        <v>891000000</v>
      </c>
      <c r="D37" s="24">
        <f>VLOOKUP(A37,'[1]TD-EPA'!$A$5:$H$36,5,0)</f>
        <v>845444760</v>
      </c>
      <c r="E37" s="25">
        <f t="shared" si="9"/>
        <v>0.94887178451178456</v>
      </c>
      <c r="F37" s="23">
        <f>VLOOKUP(A37,'[1]TD-EPA'!$A$5:$H$36,6,0)</f>
        <v>233909461</v>
      </c>
      <c r="G37" s="25">
        <f t="shared" si="10"/>
        <v>0.26252464758698091</v>
      </c>
      <c r="H37" s="23">
        <f>VLOOKUP(A37,'[1]TD-EPA'!$A$5:$H$36,4,0)</f>
        <v>878206667</v>
      </c>
      <c r="I37" s="23">
        <f>VLOOKUP(A37,'[1]TD-EPA'!$A$5:$H$36,7,0)</f>
        <v>233909461</v>
      </c>
      <c r="J37" s="23">
        <f t="shared" si="11"/>
        <v>12793333</v>
      </c>
      <c r="K37" s="25">
        <f t="shared" si="12"/>
        <v>1.4358398428731762E-2</v>
      </c>
      <c r="L37" s="23">
        <f t="shared" si="13"/>
        <v>45555240</v>
      </c>
      <c r="M37" s="25">
        <f t="shared" si="16"/>
        <v>5.1128215488215487E-2</v>
      </c>
      <c r="N37" s="23">
        <f t="shared" si="14"/>
        <v>657090539</v>
      </c>
      <c r="O37" s="25">
        <f t="shared" si="15"/>
        <v>0.73747535241301909</v>
      </c>
    </row>
    <row r="38" spans="1:15" ht="42.75" x14ac:dyDescent="0.25">
      <c r="A38" s="22" t="s">
        <v>49</v>
      </c>
      <c r="B38" s="23">
        <f>VLOOKUP(A38,'[1]TD-EPA'!$A$5:$H$36,2,0)</f>
        <v>17862588833</v>
      </c>
      <c r="C38" s="24">
        <f>VLOOKUP(A38,'[1]TD-EPA'!$A$5:$H$36,3,0)</f>
        <v>17862588833</v>
      </c>
      <c r="D38" s="24">
        <f>VLOOKUP(A38,'[1]TD-EPA'!$A$5:$H$36,5,0)</f>
        <v>14987657872</v>
      </c>
      <c r="E38" s="25">
        <f t="shared" si="9"/>
        <v>0.83905295095362953</v>
      </c>
      <c r="F38" s="23">
        <f>VLOOKUP(A38,'[1]TD-EPA'!$A$5:$H$36,6,0)</f>
        <v>5659847570.1700001</v>
      </c>
      <c r="G38" s="25">
        <f t="shared" si="10"/>
        <v>0.3168548312388958</v>
      </c>
      <c r="H38" s="23">
        <f>VLOOKUP(A38,'[1]TD-EPA'!$A$5:$H$36,4,0)</f>
        <v>16472956074</v>
      </c>
      <c r="I38" s="23">
        <f>VLOOKUP(A38,'[1]TD-EPA'!$A$5:$H$36,7,0)</f>
        <v>5659847570.1700001</v>
      </c>
      <c r="J38" s="23">
        <f t="shared" si="11"/>
        <v>1389632759</v>
      </c>
      <c r="K38" s="25">
        <f t="shared" si="12"/>
        <v>7.7795708785097353E-2</v>
      </c>
      <c r="L38" s="23">
        <f t="shared" si="13"/>
        <v>2874930961</v>
      </c>
      <c r="M38" s="25">
        <f t="shared" si="16"/>
        <v>0.16094704904637044</v>
      </c>
      <c r="N38" s="23">
        <f t="shared" si="14"/>
        <v>12202741262.83</v>
      </c>
      <c r="O38" s="25">
        <f t="shared" si="15"/>
        <v>0.6831451687611042</v>
      </c>
    </row>
    <row r="39" spans="1:15" s="18" customFormat="1" ht="15.75" x14ac:dyDescent="0.25">
      <c r="A39" s="26" t="s">
        <v>50</v>
      </c>
      <c r="B39" s="27">
        <f>B8+B27</f>
        <v>157439696653</v>
      </c>
      <c r="C39" s="27">
        <f>C8+C27</f>
        <v>160358096653</v>
      </c>
      <c r="D39" s="27">
        <f>D8+D27</f>
        <v>105021991604.31999</v>
      </c>
      <c r="E39" s="17">
        <f t="shared" si="9"/>
        <v>0.65492166467638868</v>
      </c>
      <c r="F39" s="27">
        <f>F8+F27</f>
        <v>56472114730.149994</v>
      </c>
      <c r="G39" s="17">
        <f t="shared" si="10"/>
        <v>0.35216254064395885</v>
      </c>
      <c r="H39" s="27">
        <f>H8+H27</f>
        <v>144470207707.54999</v>
      </c>
      <c r="I39" s="27">
        <f>I8+I27</f>
        <v>56336036631.149994</v>
      </c>
      <c r="J39" s="27">
        <f>J8+J27</f>
        <v>15887888945.450001</v>
      </c>
      <c r="K39" s="17">
        <f t="shared" si="12"/>
        <v>9.9077560017626756E-2</v>
      </c>
      <c r="L39" s="27">
        <f>L8+L27</f>
        <v>55336105048.68</v>
      </c>
      <c r="M39" s="17">
        <f t="shared" si="16"/>
        <v>0.34507833532361126</v>
      </c>
      <c r="N39" s="27">
        <f>N8+N27</f>
        <v>103885981922.85001</v>
      </c>
      <c r="O39" s="17">
        <f t="shared" si="15"/>
        <v>0.6478374593560412</v>
      </c>
    </row>
    <row r="40" spans="1:15" s="28" customFormat="1" x14ac:dyDescent="0.25">
      <c r="B40" s="29">
        <f>B39-[2]REP_EPG034_EjecucionPresupuesta!P32</f>
        <v>16944813653</v>
      </c>
      <c r="C40" s="30">
        <f>C39-[2]REP_EPG034_EjecucionPresupuesta!S32</f>
        <v>19863213653</v>
      </c>
      <c r="D40" s="30">
        <f>D39-[2]REP_EPG034_EjecucionPresupuesta!W32</f>
        <v>52338276409.769989</v>
      </c>
      <c r="E40" s="31">
        <f>D39/C39</f>
        <v>0.65492166467638868</v>
      </c>
      <c r="F40" s="29">
        <f>F39-[2]REP_EPG034_EjecucionPresupuesta!X32</f>
        <v>51550864490.949997</v>
      </c>
      <c r="G40" s="31">
        <f>F39/C39</f>
        <v>0.35216254064395885</v>
      </c>
      <c r="H40" s="29">
        <f>H39-[2]REP_EPG034_EjecucionPresupuesta!U32</f>
        <v>35458654273.469986</v>
      </c>
      <c r="I40" s="29">
        <f>I39-[2]REP_EPG034_EjecucionPresupuesta!Z32</f>
        <v>52063663589.689995</v>
      </c>
      <c r="J40" s="29">
        <f>C39-(H39+J39)</f>
        <v>0</v>
      </c>
      <c r="K40" s="31">
        <f>J39/C39</f>
        <v>9.9077560017626756E-2</v>
      </c>
      <c r="L40" s="29">
        <f>C39-(D39+L39)</f>
        <v>0</v>
      </c>
      <c r="M40" s="31">
        <f>L39/C39</f>
        <v>0.34507833532361126</v>
      </c>
      <c r="N40" s="29">
        <f>C39-(F39+N39)</f>
        <v>0</v>
      </c>
      <c r="O40" s="31">
        <f>N39/C39</f>
        <v>0.6478374593560412</v>
      </c>
    </row>
    <row r="41" spans="1:15" x14ac:dyDescent="0.25">
      <c r="F41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2017-08-02T16:23:34Z</dcterms:created>
  <dcterms:modified xsi:type="dcterms:W3CDTF">2017-08-02T16:58:28Z</dcterms:modified>
</cp:coreProperties>
</file>