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lbarrero\Documents\2019\WEB SIC\PUBLICACION\"/>
    </mc:Choice>
  </mc:AlternateContent>
  <bookViews>
    <workbookView xWindow="0" yWindow="0" windowWidth="28800" windowHeight="10635"/>
  </bookViews>
  <sheets>
    <sheet name="EJECUCIÓN DESAGRAGADA" sheetId="1" r:id="rId1"/>
    <sheet name="GENERAL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M41" i="1" s="1"/>
  <c r="H41" i="1"/>
  <c r="D41" i="1"/>
  <c r="A41" i="1"/>
  <c r="C41" i="1" s="1"/>
  <c r="H40" i="1"/>
  <c r="D40" i="1"/>
  <c r="E40" i="1" s="1"/>
  <c r="C40" i="1"/>
  <c r="A40" i="1"/>
  <c r="F40" i="1" s="1"/>
  <c r="G40" i="1" s="1"/>
  <c r="N39" i="1"/>
  <c r="O39" i="1" s="1"/>
  <c r="H39" i="1"/>
  <c r="G39" i="1"/>
  <c r="F39" i="1"/>
  <c r="D39" i="1"/>
  <c r="C39" i="1"/>
  <c r="L39" i="1" s="1"/>
  <c r="M39" i="1" s="1"/>
  <c r="B39" i="1"/>
  <c r="A39" i="1"/>
  <c r="I39" i="1" s="1"/>
  <c r="B38" i="1"/>
  <c r="A38" i="1"/>
  <c r="I38" i="1" s="1"/>
  <c r="F37" i="1"/>
  <c r="A37" i="1"/>
  <c r="I36" i="1"/>
  <c r="D36" i="1"/>
  <c r="A36" i="1"/>
  <c r="H35" i="1"/>
  <c r="F35" i="1"/>
  <c r="D35" i="1"/>
  <c r="C35" i="1"/>
  <c r="B35" i="1"/>
  <c r="A35" i="1"/>
  <c r="I35" i="1" s="1"/>
  <c r="I34" i="1"/>
  <c r="C34" i="1"/>
  <c r="A34" i="1"/>
  <c r="I33" i="1"/>
  <c r="H33" i="1"/>
  <c r="J33" i="1" s="1"/>
  <c r="K33" i="1" s="1"/>
  <c r="D33" i="1"/>
  <c r="E33" i="1" s="1"/>
  <c r="B33" i="1"/>
  <c r="A33" i="1"/>
  <c r="C33" i="1" s="1"/>
  <c r="L33" i="1" s="1"/>
  <c r="M33" i="1" s="1"/>
  <c r="A32" i="1"/>
  <c r="H32" i="1" s="1"/>
  <c r="L31" i="1"/>
  <c r="M31" i="1" s="1"/>
  <c r="K31" i="1"/>
  <c r="H31" i="1"/>
  <c r="G31" i="1"/>
  <c r="F31" i="1"/>
  <c r="D31" i="1"/>
  <c r="C31" i="1"/>
  <c r="J31" i="1" s="1"/>
  <c r="B31" i="1"/>
  <c r="A31" i="1"/>
  <c r="I31" i="1" s="1"/>
  <c r="B30" i="1"/>
  <c r="A30" i="1"/>
  <c r="F30" i="1" s="1"/>
  <c r="F29" i="1"/>
  <c r="A29" i="1"/>
  <c r="I27" i="1"/>
  <c r="C27" i="1"/>
  <c r="B27" i="1"/>
  <c r="A27" i="1"/>
  <c r="A26" i="1"/>
  <c r="B26" i="1" s="1"/>
  <c r="A25" i="1"/>
  <c r="J24" i="1"/>
  <c r="K24" i="1" s="1"/>
  <c r="H24" i="1"/>
  <c r="F24" i="1"/>
  <c r="G24" i="1" s="1"/>
  <c r="D24" i="1"/>
  <c r="C24" i="1"/>
  <c r="N24" i="1" s="1"/>
  <c r="O24" i="1" s="1"/>
  <c r="B24" i="1"/>
  <c r="A24" i="1"/>
  <c r="I24" i="1" s="1"/>
  <c r="A23" i="1"/>
  <c r="I22" i="1"/>
  <c r="E22" i="1"/>
  <c r="D22" i="1"/>
  <c r="A22" i="1"/>
  <c r="C22" i="1" s="1"/>
  <c r="L22" i="1" s="1"/>
  <c r="M22" i="1" s="1"/>
  <c r="I21" i="1"/>
  <c r="H21" i="1"/>
  <c r="E21" i="1"/>
  <c r="D21" i="1"/>
  <c r="C21" i="1"/>
  <c r="A21" i="1"/>
  <c r="H20" i="1"/>
  <c r="D20" i="1"/>
  <c r="E20" i="1" s="1"/>
  <c r="C20" i="1"/>
  <c r="J20" i="1" s="1"/>
  <c r="K20" i="1" s="1"/>
  <c r="B20" i="1"/>
  <c r="A20" i="1"/>
  <c r="I20" i="1" s="1"/>
  <c r="B19" i="1"/>
  <c r="A19" i="1"/>
  <c r="I19" i="1" s="1"/>
  <c r="A18" i="1"/>
  <c r="C18" i="1" s="1"/>
  <c r="I16" i="1"/>
  <c r="C16" i="1"/>
  <c r="A16" i="1"/>
  <c r="F16" i="1" s="1"/>
  <c r="G16" i="1" s="1"/>
  <c r="H15" i="1"/>
  <c r="J15" i="1" s="1"/>
  <c r="B15" i="1"/>
  <c r="A15" i="1"/>
  <c r="C15" i="1" s="1"/>
  <c r="I13" i="1"/>
  <c r="C13" i="1"/>
  <c r="B13" i="1"/>
  <c r="A13" i="1"/>
  <c r="I12" i="1"/>
  <c r="D12" i="1"/>
  <c r="E12" i="1" s="1"/>
  <c r="A12" i="1"/>
  <c r="C12" i="1" s="1"/>
  <c r="L12" i="1" s="1"/>
  <c r="M12" i="1" s="1"/>
  <c r="H11" i="1"/>
  <c r="F11" i="1"/>
  <c r="G11" i="1" s="1"/>
  <c r="D11" i="1"/>
  <c r="E11" i="1" s="1"/>
  <c r="C11" i="1"/>
  <c r="B11" i="1"/>
  <c r="A11" i="1"/>
  <c r="I11" i="1" s="1"/>
  <c r="C10" i="1"/>
  <c r="A10" i="1"/>
  <c r="F10" i="1" s="1"/>
  <c r="B4" i="1"/>
  <c r="E13" i="2"/>
  <c r="D27" i="2"/>
  <c r="D24" i="2"/>
  <c r="D15" i="2"/>
  <c r="D13" i="2"/>
  <c r="C26" i="2"/>
  <c r="C15" i="2"/>
  <c r="C13" i="2"/>
  <c r="E27" i="2"/>
  <c r="E26" i="2"/>
  <c r="E25" i="2"/>
  <c r="E24" i="2"/>
  <c r="E16" i="2"/>
  <c r="E15" i="2"/>
  <c r="E14" i="2"/>
  <c r="D26" i="2"/>
  <c r="D25" i="2"/>
  <c r="D16" i="2"/>
  <c r="D14" i="2"/>
  <c r="C27" i="2"/>
  <c r="C25" i="2"/>
  <c r="C24" i="2"/>
  <c r="C16" i="2"/>
  <c r="C14" i="2"/>
  <c r="C23" i="2" l="1"/>
  <c r="C28" i="2" s="1"/>
  <c r="F14" i="2"/>
  <c r="F15" i="2"/>
  <c r="F16" i="2"/>
  <c r="F24" i="2"/>
  <c r="E23" i="2"/>
  <c r="F25" i="2"/>
  <c r="F26" i="2"/>
  <c r="F27" i="2"/>
  <c r="C12" i="2"/>
  <c r="C17" i="2" s="1"/>
  <c r="D12" i="2"/>
  <c r="D23" i="2"/>
  <c r="F13" i="2"/>
  <c r="E12" i="2"/>
  <c r="G10" i="1"/>
  <c r="N10" i="1"/>
  <c r="K15" i="1"/>
  <c r="N16" i="1"/>
  <c r="O16" i="1" s="1"/>
  <c r="N35" i="1"/>
  <c r="O35" i="1" s="1"/>
  <c r="L35" i="1"/>
  <c r="M35" i="1" s="1"/>
  <c r="J35" i="1"/>
  <c r="K35" i="1" s="1"/>
  <c r="C9" i="1"/>
  <c r="D10" i="1"/>
  <c r="H10" i="1"/>
  <c r="H13" i="1"/>
  <c r="J13" i="1" s="1"/>
  <c r="K13" i="1" s="1"/>
  <c r="D13" i="1"/>
  <c r="E13" i="1" s="1"/>
  <c r="F13" i="1"/>
  <c r="G13" i="1" s="1"/>
  <c r="C14" i="1"/>
  <c r="H14" i="1"/>
  <c r="D15" i="1"/>
  <c r="L15" i="1" s="1"/>
  <c r="I15" i="1"/>
  <c r="I14" i="1" s="1"/>
  <c r="J16" i="1"/>
  <c r="K16" i="1" s="1"/>
  <c r="B18" i="1"/>
  <c r="H18" i="1"/>
  <c r="C19" i="1"/>
  <c r="E24" i="1"/>
  <c r="L24" i="1"/>
  <c r="M24" i="1" s="1"/>
  <c r="E35" i="1"/>
  <c r="F18" i="1"/>
  <c r="N18" i="1" s="1"/>
  <c r="H23" i="1"/>
  <c r="D23" i="1"/>
  <c r="I23" i="1"/>
  <c r="C23" i="1"/>
  <c r="C17" i="1" s="1"/>
  <c r="B23" i="1"/>
  <c r="C26" i="1"/>
  <c r="I26" i="1"/>
  <c r="D26" i="1"/>
  <c r="E26" i="1" s="1"/>
  <c r="D18" i="1"/>
  <c r="L20" i="1"/>
  <c r="M20" i="1" s="1"/>
  <c r="J21" i="1"/>
  <c r="K21" i="1" s="1"/>
  <c r="L21" i="1"/>
  <c r="M21" i="1" s="1"/>
  <c r="F23" i="1"/>
  <c r="G23" i="1" s="1"/>
  <c r="F26" i="1"/>
  <c r="G26" i="1" s="1"/>
  <c r="C29" i="1"/>
  <c r="I29" i="1"/>
  <c r="D29" i="1"/>
  <c r="H29" i="1"/>
  <c r="B29" i="1"/>
  <c r="F32" i="1"/>
  <c r="B32" i="1"/>
  <c r="I32" i="1"/>
  <c r="D32" i="1"/>
  <c r="G35" i="1"/>
  <c r="L16" i="1"/>
  <c r="M16" i="1" s="1"/>
  <c r="I10" i="1"/>
  <c r="I9" i="1" s="1"/>
  <c r="F12" i="1"/>
  <c r="H16" i="1"/>
  <c r="D16" i="1"/>
  <c r="E16" i="1" s="1"/>
  <c r="I18" i="1"/>
  <c r="I17" i="1" s="1"/>
  <c r="B10" i="1"/>
  <c r="J10" i="1"/>
  <c r="N11" i="1"/>
  <c r="O11" i="1" s="1"/>
  <c r="J11" i="1"/>
  <c r="K11" i="1" s="1"/>
  <c r="L11" i="1"/>
  <c r="M11" i="1" s="1"/>
  <c r="B12" i="1"/>
  <c r="H12" i="1"/>
  <c r="J12" i="1" s="1"/>
  <c r="K12" i="1" s="1"/>
  <c r="L13" i="1"/>
  <c r="M13" i="1" s="1"/>
  <c r="N13" i="1"/>
  <c r="O13" i="1" s="1"/>
  <c r="F15" i="1"/>
  <c r="N15" i="1" s="1"/>
  <c r="B16" i="1"/>
  <c r="B14" i="1" s="1"/>
  <c r="H19" i="1"/>
  <c r="D19" i="1"/>
  <c r="E19" i="1" s="1"/>
  <c r="F19" i="1"/>
  <c r="G19" i="1" s="1"/>
  <c r="F25" i="1"/>
  <c r="B25" i="1"/>
  <c r="I25" i="1"/>
  <c r="D25" i="1"/>
  <c r="H25" i="1"/>
  <c r="C25" i="1"/>
  <c r="H26" i="1"/>
  <c r="H30" i="1"/>
  <c r="D30" i="1"/>
  <c r="E30" i="1" s="1"/>
  <c r="I30" i="1"/>
  <c r="C30" i="1"/>
  <c r="C32" i="1"/>
  <c r="C37" i="1"/>
  <c r="I37" i="1"/>
  <c r="D37" i="1"/>
  <c r="H37" i="1"/>
  <c r="B37" i="1"/>
  <c r="F22" i="1"/>
  <c r="N31" i="1"/>
  <c r="O31" i="1" s="1"/>
  <c r="H34" i="1"/>
  <c r="J34" i="1" s="1"/>
  <c r="K34" i="1" s="1"/>
  <c r="D34" i="1"/>
  <c r="E34" i="1" s="1"/>
  <c r="F34" i="1"/>
  <c r="G34" i="1" s="1"/>
  <c r="F36" i="1"/>
  <c r="B36" i="1"/>
  <c r="C38" i="1"/>
  <c r="J41" i="1"/>
  <c r="K41" i="1" s="1"/>
  <c r="F20" i="1"/>
  <c r="F21" i="1"/>
  <c r="G21" i="1" s="1"/>
  <c r="B21" i="1"/>
  <c r="B22" i="1"/>
  <c r="H22" i="1"/>
  <c r="J22" i="1" s="1"/>
  <c r="K22" i="1" s="1"/>
  <c r="H27" i="1"/>
  <c r="J27" i="1" s="1"/>
  <c r="K27" i="1" s="1"/>
  <c r="D27" i="1"/>
  <c r="E27" i="1" s="1"/>
  <c r="F27" i="1"/>
  <c r="G27" i="1" s="1"/>
  <c r="E31" i="1"/>
  <c r="F33" i="1"/>
  <c r="F28" i="1" s="1"/>
  <c r="B34" i="1"/>
  <c r="C36" i="1"/>
  <c r="H36" i="1"/>
  <c r="E39" i="1"/>
  <c r="J39" i="1"/>
  <c r="K39" i="1" s="1"/>
  <c r="E41" i="1"/>
  <c r="H38" i="1"/>
  <c r="D38" i="1"/>
  <c r="E38" i="1" s="1"/>
  <c r="F38" i="1"/>
  <c r="N40" i="1"/>
  <c r="O40" i="1" s="1"/>
  <c r="J40" i="1"/>
  <c r="K40" i="1" s="1"/>
  <c r="L40" i="1"/>
  <c r="M40" i="1" s="1"/>
  <c r="I41" i="1"/>
  <c r="I40" i="1"/>
  <c r="B41" i="1"/>
  <c r="F41" i="1"/>
  <c r="G41" i="1" s="1"/>
  <c r="B40" i="1"/>
  <c r="F12" i="2" l="1"/>
  <c r="E17" i="2"/>
  <c r="F23" i="2"/>
  <c r="E28" i="2"/>
  <c r="F28" i="2" s="1"/>
  <c r="D17" i="2"/>
  <c r="D28" i="2"/>
  <c r="L14" i="1"/>
  <c r="M14" i="1" s="1"/>
  <c r="M15" i="1"/>
  <c r="O15" i="1"/>
  <c r="N14" i="1"/>
  <c r="O14" i="1" s="1"/>
  <c r="O18" i="1"/>
  <c r="D9" i="1"/>
  <c r="E10" i="1"/>
  <c r="N20" i="1"/>
  <c r="O20" i="1" s="1"/>
  <c r="G20" i="1"/>
  <c r="G25" i="1"/>
  <c r="I8" i="1"/>
  <c r="G32" i="1"/>
  <c r="I28" i="1"/>
  <c r="L19" i="1"/>
  <c r="M19" i="1" s="1"/>
  <c r="J19" i="1"/>
  <c r="K19" i="1" s="1"/>
  <c r="N19" i="1"/>
  <c r="O19" i="1" s="1"/>
  <c r="C8" i="1"/>
  <c r="L27" i="1"/>
  <c r="M27" i="1" s="1"/>
  <c r="O10" i="1"/>
  <c r="J37" i="1"/>
  <c r="K37" i="1" s="1"/>
  <c r="N37" i="1"/>
  <c r="O37" i="1" s="1"/>
  <c r="L37" i="1"/>
  <c r="M37" i="1" s="1"/>
  <c r="G12" i="1"/>
  <c r="N12" i="1"/>
  <c r="O12" i="1" s="1"/>
  <c r="G18" i="1"/>
  <c r="F17" i="1"/>
  <c r="G17" i="1" s="1"/>
  <c r="N36" i="1"/>
  <c r="O36" i="1" s="1"/>
  <c r="J36" i="1"/>
  <c r="K36" i="1" s="1"/>
  <c r="L36" i="1"/>
  <c r="M36" i="1" s="1"/>
  <c r="E36" i="1"/>
  <c r="G36" i="1"/>
  <c r="E37" i="1"/>
  <c r="N32" i="1"/>
  <c r="O32" i="1" s="1"/>
  <c r="J32" i="1"/>
  <c r="K32" i="1" s="1"/>
  <c r="L32" i="1"/>
  <c r="M32" i="1" s="1"/>
  <c r="E25" i="1"/>
  <c r="G15" i="1"/>
  <c r="F14" i="1"/>
  <c r="G14" i="1" s="1"/>
  <c r="K10" i="1"/>
  <c r="J9" i="1"/>
  <c r="E32" i="1"/>
  <c r="B28" i="1"/>
  <c r="N29" i="1"/>
  <c r="C28" i="1"/>
  <c r="G28" i="1" s="1"/>
  <c r="L29" i="1"/>
  <c r="J29" i="1"/>
  <c r="E18" i="1"/>
  <c r="D17" i="1"/>
  <c r="E17" i="1" s="1"/>
  <c r="J26" i="1"/>
  <c r="K26" i="1" s="1"/>
  <c r="N26" i="1"/>
  <c r="O26" i="1" s="1"/>
  <c r="L26" i="1"/>
  <c r="M26" i="1" s="1"/>
  <c r="E23" i="1"/>
  <c r="H17" i="1"/>
  <c r="L10" i="1"/>
  <c r="G37" i="1"/>
  <c r="N34" i="1"/>
  <c r="O34" i="1" s="1"/>
  <c r="L18" i="1"/>
  <c r="J18" i="1"/>
  <c r="F9" i="1"/>
  <c r="G33" i="1"/>
  <c r="N33" i="1"/>
  <c r="O33" i="1" s="1"/>
  <c r="L38" i="1"/>
  <c r="M38" i="1" s="1"/>
  <c r="J38" i="1"/>
  <c r="K38" i="1" s="1"/>
  <c r="N38" i="1"/>
  <c r="O38" i="1" s="1"/>
  <c r="N25" i="1"/>
  <c r="O25" i="1" s="1"/>
  <c r="J25" i="1"/>
  <c r="K25" i="1" s="1"/>
  <c r="L25" i="1"/>
  <c r="M25" i="1" s="1"/>
  <c r="E29" i="1"/>
  <c r="D28" i="1"/>
  <c r="E28" i="1" s="1"/>
  <c r="L23" i="1"/>
  <c r="M23" i="1" s="1"/>
  <c r="N23" i="1"/>
  <c r="O23" i="1" s="1"/>
  <c r="J23" i="1"/>
  <c r="K23" i="1" s="1"/>
  <c r="G38" i="1"/>
  <c r="N41" i="1"/>
  <c r="O41" i="1" s="1"/>
  <c r="G22" i="1"/>
  <c r="N22" i="1"/>
  <c r="O22" i="1" s="1"/>
  <c r="L30" i="1"/>
  <c r="M30" i="1" s="1"/>
  <c r="J30" i="1"/>
  <c r="K30" i="1" s="1"/>
  <c r="N30" i="1"/>
  <c r="O30" i="1" s="1"/>
  <c r="B9" i="1"/>
  <c r="G29" i="1"/>
  <c r="H28" i="1"/>
  <c r="N21" i="1"/>
  <c r="O21" i="1" s="1"/>
  <c r="N27" i="1"/>
  <c r="O27" i="1" s="1"/>
  <c r="B17" i="1"/>
  <c r="E15" i="1"/>
  <c r="D14" i="1"/>
  <c r="E14" i="1" s="1"/>
  <c r="H9" i="1"/>
  <c r="L34" i="1"/>
  <c r="M34" i="1" s="1"/>
  <c r="G30" i="1"/>
  <c r="J14" i="1"/>
  <c r="K14" i="1" s="1"/>
  <c r="F17" i="2" l="1"/>
  <c r="M18" i="1"/>
  <c r="L17" i="1"/>
  <c r="M17" i="1" s="1"/>
  <c r="M29" i="1"/>
  <c r="L28" i="1"/>
  <c r="M28" i="1" s="1"/>
  <c r="B8" i="1"/>
  <c r="B42" i="1" s="1"/>
  <c r="B43" i="1" s="1"/>
  <c r="K9" i="1"/>
  <c r="C42" i="1"/>
  <c r="N17" i="1"/>
  <c r="O17" i="1" s="1"/>
  <c r="E9" i="1"/>
  <c r="D8" i="1"/>
  <c r="H8" i="1"/>
  <c r="H42" i="1" s="1"/>
  <c r="H43" i="1" s="1"/>
  <c r="F8" i="1"/>
  <c r="G9" i="1"/>
  <c r="O29" i="1"/>
  <c r="N28" i="1"/>
  <c r="O28" i="1" s="1"/>
  <c r="N9" i="1"/>
  <c r="K18" i="1"/>
  <c r="J17" i="1"/>
  <c r="K17" i="1" s="1"/>
  <c r="M10" i="1"/>
  <c r="L9" i="1"/>
  <c r="K29" i="1"/>
  <c r="J28" i="1"/>
  <c r="K28" i="1" s="1"/>
  <c r="I42" i="1"/>
  <c r="I43" i="1" s="1"/>
  <c r="D42" i="1" l="1"/>
  <c r="E8" i="1"/>
  <c r="C43" i="1"/>
  <c r="J8" i="1"/>
  <c r="M9" i="1"/>
  <c r="L8" i="1"/>
  <c r="N8" i="1"/>
  <c r="O9" i="1"/>
  <c r="F42" i="1"/>
  <c r="G8" i="1"/>
  <c r="J42" i="1" l="1"/>
  <c r="K8" i="1"/>
  <c r="G43" i="1"/>
  <c r="F43" i="1"/>
  <c r="G42" i="1"/>
  <c r="N42" i="1"/>
  <c r="N43" i="1" s="1"/>
  <c r="O8" i="1"/>
  <c r="L42" i="1"/>
  <c r="M8" i="1"/>
  <c r="E42" i="1"/>
  <c r="E43" i="1"/>
  <c r="D43" i="1"/>
  <c r="M42" i="1" l="1"/>
  <c r="M43" i="1"/>
  <c r="K43" i="1"/>
  <c r="K42" i="1"/>
  <c r="J43" i="1"/>
  <c r="O43" i="1"/>
  <c r="O42" i="1"/>
  <c r="L43" i="1"/>
</calcChain>
</file>

<file path=xl/sharedStrings.xml><?xml version="1.0" encoding="utf-8"?>
<sst xmlns="http://schemas.openxmlformats.org/spreadsheetml/2006/main" count="54" uniqueCount="34">
  <si>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</si>
  <si>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</si>
  <si>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</si>
  <si>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</si>
  <si>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</si>
  <si>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</si>
  <si>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</si>
  <si>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</si>
  <si>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</si>
  <si>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</si>
  <si>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</si>
  <si>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</si>
  <si>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</si>
  <si>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</si>
  <si>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</si>
  <si>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</si>
  <si>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</si>
  <si>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</si>
  <si>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</si>
  <si>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</si>
  <si>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Gastos Generales</t>
  </si>
  <si>
    <t>Transferencias Corrientes</t>
  </si>
  <si>
    <t>Gastos de Inversión</t>
  </si>
  <si>
    <t>TOTAL</t>
  </si>
  <si>
    <t>METAS EJECUCIÓN - ACUERDO DE DESEMPEÑO MINCIT</t>
  </si>
  <si>
    <t>FEBRERO - 2019</t>
  </si>
  <si>
    <t>COMPROMISOS</t>
  </si>
  <si>
    <t>SIIF NACIÓN</t>
  </si>
  <si>
    <t>APROP. INICIAL</t>
  </si>
  <si>
    <t>APROP. VIGENTE</t>
  </si>
  <si>
    <t>$</t>
  </si>
  <si>
    <t>%</t>
  </si>
  <si>
    <t>Inversión</t>
  </si>
  <si>
    <t>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</si>
</sst>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  <numFmt numFmtId="167" formatCode="_(* #,##0.00_);_(* \(#,##0.00\);_(* &quot;-&quot;??_);_(@_)"/>
    <numFmt numFmtId="168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sz val="11"/>
      <name val="Calibri"/>
      <family val="2"/>
    </font>
    <font>
      <b/>
      <sz val="26"/>
      <name val="Calibri"/>
      <family val="2"/>
    </font>
    <font>
      <sz val="11"/>
      <name val="Arial Narrow"/>
      <family val="2"/>
    </font>
    <font>
      <b/>
      <sz val="11"/>
      <color theme="3" tint="-0.249977111117893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0" fontId="13" fillId="2" borderId="0" xfId="1" applyFont="1" applyFill="1" applyBorder="1"/>
    <xf numFmtId="0" fontId="14" fillId="0" borderId="0" xfId="1" applyFont="1" applyFill="1" applyBorder="1" applyAlignment="1">
      <alignment horizontal="center" vertical="center"/>
    </xf>
    <xf numFmtId="0" fontId="13" fillId="0" borderId="0" xfId="1" applyFont="1" applyFill="1" applyBorder="1"/>
    <xf numFmtId="0" fontId="15" fillId="2" borderId="0" xfId="1" applyFont="1" applyFill="1" applyBorder="1"/>
    <xf numFmtId="0" fontId="16" fillId="4" borderId="2" xfId="1" applyFont="1" applyFill="1" applyBorder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5" fillId="0" borderId="0" xfId="1" applyFont="1" applyFill="1" applyBorder="1"/>
    <xf numFmtId="0" fontId="17" fillId="6" borderId="4" xfId="1" applyFont="1" applyFill="1" applyBorder="1" applyAlignment="1">
      <alignment horizontal="center" vertical="center"/>
    </xf>
    <xf numFmtId="0" fontId="16" fillId="4" borderId="4" xfId="1" applyFont="1" applyFill="1" applyBorder="1" applyAlignment="1">
      <alignment horizontal="center" vertical="center"/>
    </xf>
    <xf numFmtId="0" fontId="17" fillId="7" borderId="5" xfId="1" applyFont="1" applyFill="1" applyBorder="1"/>
    <xf numFmtId="167" fontId="17" fillId="0" borderId="5" xfId="5" applyFont="1" applyBorder="1"/>
    <xf numFmtId="10" fontId="17" fillId="0" borderId="5" xfId="3" applyNumberFormat="1" applyFont="1" applyBorder="1"/>
    <xf numFmtId="0" fontId="18" fillId="7" borderId="6" xfId="1" applyFont="1" applyFill="1" applyBorder="1"/>
    <xf numFmtId="167" fontId="18" fillId="0" borderId="6" xfId="5" applyFont="1" applyBorder="1"/>
    <xf numFmtId="10" fontId="18" fillId="0" borderId="6" xfId="3" applyNumberFormat="1" applyFont="1" applyBorder="1"/>
    <xf numFmtId="10" fontId="15" fillId="2" borderId="0" xfId="3" applyNumberFormat="1" applyFont="1" applyFill="1" applyBorder="1"/>
    <xf numFmtId="0" fontId="18" fillId="7" borderId="7" xfId="1" applyFont="1" applyFill="1" applyBorder="1"/>
    <xf numFmtId="167" fontId="18" fillId="0" borderId="7" xfId="5" applyFont="1" applyBorder="1"/>
    <xf numFmtId="10" fontId="18" fillId="0" borderId="7" xfId="3" applyNumberFormat="1" applyFont="1" applyBorder="1"/>
    <xf numFmtId="0" fontId="17" fillId="7" borderId="4" xfId="1" applyFont="1" applyFill="1" applyBorder="1"/>
    <xf numFmtId="167" fontId="17" fillId="0" borderId="4" xfId="5" applyFont="1" applyBorder="1"/>
    <xf numFmtId="10" fontId="17" fillId="0" borderId="4" xfId="3" applyNumberFormat="1" applyFont="1" applyBorder="1"/>
    <xf numFmtId="0" fontId="17" fillId="6" borderId="4" xfId="1" applyFont="1" applyFill="1" applyBorder="1"/>
    <xf numFmtId="167" fontId="17" fillId="6" borderId="4" xfId="5" applyFont="1" applyFill="1" applyBorder="1"/>
    <xf numFmtId="167" fontId="16" fillId="4" borderId="4" xfId="5" applyFont="1" applyFill="1" applyBorder="1"/>
    <xf numFmtId="10" fontId="16" fillId="4" borderId="4" xfId="3" applyNumberFormat="1" applyFont="1" applyFill="1" applyBorder="1"/>
    <xf numFmtId="167" fontId="13" fillId="2" borderId="0" xfId="5" applyFont="1" applyFill="1" applyBorder="1"/>
    <xf numFmtId="10" fontId="13" fillId="2" borderId="0" xfId="3" applyNumberFormat="1" applyFont="1" applyFill="1" applyBorder="1"/>
    <xf numFmtId="10" fontId="13" fillId="2" borderId="0" xfId="1" applyNumberFormat="1" applyFont="1" applyFill="1" applyBorder="1"/>
  </cellXfs>
  <cellStyles count="7">
    <cellStyle name="Millares 2" xfId="2"/>
    <cellStyle name="Millares 3" xfId="5"/>
    <cellStyle name="Moneda 2" xfId="6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581026</xdr:colOff>
      <xdr:row>0</xdr:row>
      <xdr:rowOff>0</xdr:rowOff>
    </xdr:from>
    <xdr:to>
      <xdr:col>2</xdr:col>
      <xdr:colOff>1081376</xdr:colOff>
      <xdr:row>7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0"/>
          <a:ext cx="2157700" cy="1400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lbarrero/Documents/2019/WEB%20SIC/INFORME%20EPA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FEBRERO - 2019</v>
          </cell>
        </row>
      </sheetData>
      <sheetData sheetId="3"/>
      <sheetData sheetId="4">
        <row r="3">
          <cell r="A3" t="str">
            <v>Etiquetas de fila</v>
          </cell>
        </row>
        <row r="5">
          <cell r="A5" t="str">
            <v>01</v>
          </cell>
          <cell r="B5">
            <v>58763996000</v>
          </cell>
          <cell r="C5">
            <v>58763996000</v>
          </cell>
          <cell r="D5">
            <v>56893965000</v>
          </cell>
          <cell r="E5">
            <v>6446552074</v>
          </cell>
          <cell r="F5">
            <v>6446552074</v>
          </cell>
          <cell r="G5">
            <v>6446552074</v>
          </cell>
          <cell r="H5">
            <v>1870031000</v>
          </cell>
        </row>
        <row r="6">
          <cell r="A6" t="str">
            <v>SALARIO</v>
          </cell>
          <cell r="B6">
            <v>40628002000</v>
          </cell>
          <cell r="C6">
            <v>40628002000</v>
          </cell>
          <cell r="D6">
            <v>40628002000</v>
          </cell>
          <cell r="E6">
            <v>5392772917</v>
          </cell>
          <cell r="F6">
            <v>5392772917</v>
          </cell>
          <cell r="G6">
            <v>5392772917</v>
          </cell>
          <cell r="H6">
            <v>0</v>
          </cell>
        </row>
        <row r="7">
          <cell r="A7" t="str">
            <v>CONTRIBUCIONES INHERENTES A LA NÓMINA</v>
          </cell>
          <cell r="B7">
            <v>13022354000</v>
          </cell>
          <cell r="C7">
            <v>13022354000</v>
          </cell>
          <cell r="D7">
            <v>13022354000</v>
          </cell>
          <cell r="E7">
            <v>967720728</v>
          </cell>
          <cell r="F7">
            <v>967720728</v>
          </cell>
          <cell r="G7">
            <v>967720728</v>
          </cell>
          <cell r="H7">
            <v>0</v>
          </cell>
        </row>
        <row r="8">
          <cell r="A8" t="str">
            <v>REMUNERACIONES NO CONSTITUTIVAS DE FACTOR SALARIAL</v>
          </cell>
          <cell r="B8">
            <v>3243609000</v>
          </cell>
          <cell r="C8">
            <v>3243609000</v>
          </cell>
          <cell r="D8">
            <v>3243609000</v>
          </cell>
          <cell r="E8">
            <v>86058429</v>
          </cell>
          <cell r="F8">
            <v>86058429</v>
          </cell>
          <cell r="G8">
            <v>86058429</v>
          </cell>
          <cell r="H8">
            <v>0</v>
          </cell>
        </row>
        <row r="9">
          <cell r="A9" t="str">
            <v>OTROS GASTOS DE PERSONAL - PREVIO CONCEPTO DGPPN</v>
          </cell>
          <cell r="B9">
            <v>1870031000</v>
          </cell>
          <cell r="C9">
            <v>1870031000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1870031000</v>
          </cell>
        </row>
        <row r="10">
          <cell r="A10" t="str">
            <v>02</v>
          </cell>
          <cell r="B10">
            <v>12676328868</v>
          </cell>
          <cell r="C10">
            <v>12676328868</v>
          </cell>
          <cell r="D10">
            <v>10560674164</v>
          </cell>
          <cell r="E10">
            <v>9374570814.6800003</v>
          </cell>
          <cell r="F10">
            <v>2317363279</v>
          </cell>
          <cell r="G10">
            <v>2317363279</v>
          </cell>
          <cell r="H10">
            <v>0</v>
          </cell>
        </row>
        <row r="11">
          <cell r="A11" t="str">
            <v>ADQUISICIÓN DE ACTIVOS NO FINANCIEROS</v>
          </cell>
          <cell r="B11">
            <v>10000000</v>
          </cell>
          <cell r="C11">
            <v>10000000</v>
          </cell>
          <cell r="D11">
            <v>4000000</v>
          </cell>
          <cell r="E11">
            <v>4000000</v>
          </cell>
          <cell r="F11">
            <v>4000000</v>
          </cell>
          <cell r="G11">
            <v>4000000</v>
          </cell>
          <cell r="H11">
            <v>0</v>
          </cell>
        </row>
        <row r="12">
          <cell r="A12" t="str">
            <v>ADQUISICIONES DIFERENTES DE ACTIVOS</v>
          </cell>
          <cell r="B12">
            <v>12666328868</v>
          </cell>
          <cell r="C12">
            <v>12666328868</v>
          </cell>
          <cell r="D12">
            <v>10556674164</v>
          </cell>
          <cell r="E12">
            <v>9370570814.6800003</v>
          </cell>
          <cell r="F12">
            <v>2313363279</v>
          </cell>
          <cell r="G12">
            <v>2313363279</v>
          </cell>
          <cell r="H12">
            <v>0</v>
          </cell>
        </row>
        <row r="13">
          <cell r="A13" t="str">
            <v>03</v>
          </cell>
          <cell r="B13">
            <v>7027097000</v>
          </cell>
          <cell r="C13">
            <v>7027097000</v>
          </cell>
          <cell r="D13">
            <v>1407200903</v>
          </cell>
          <cell r="E13">
            <v>287210876.96000004</v>
          </cell>
          <cell r="F13">
            <v>189730684.96000001</v>
          </cell>
          <cell r="G13">
            <v>189730684.96000001</v>
          </cell>
          <cell r="H13">
            <v>1446200000</v>
          </cell>
        </row>
        <row r="14">
          <cell r="A14" t="str">
            <v>CONVENCION DEL METRO - OFICINA INTERNACIONAL DE PESAS Y MEDIDAS - BIPM. LEY 1512 DE 2012</v>
          </cell>
          <cell r="B14">
            <v>81269000</v>
          </cell>
          <cell r="C14">
            <v>81269000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ORGANIZACION PARA LA COOPERACION Y EL DESARROLLO ECONOMICO OCDE-ARTICULO 47 LEY 1450 DE 2011</v>
          </cell>
          <cell r="B15">
            <v>206493000</v>
          </cell>
          <cell r="C15">
            <v>206493000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PROVISIÓN PARA GASTOS INSTITUCIONALES Y/O SECTORIALES CONTINGENTES- PREVIO CONCEPTO DGPPN</v>
          </cell>
          <cell r="B16">
            <v>1446200000</v>
          </cell>
          <cell r="C16">
            <v>1446200000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1446200000</v>
          </cell>
        </row>
        <row r="17">
          <cell r="A17" t="str">
            <v>MESADAS PENSIONALES (DE PENSIONES)</v>
          </cell>
          <cell r="B17">
            <v>418365000</v>
          </cell>
          <cell r="C17">
            <v>418365000</v>
          </cell>
          <cell r="D17">
            <v>418365000</v>
          </cell>
          <cell r="E17">
            <v>48183953.960000001</v>
          </cell>
          <cell r="F17">
            <v>47818953.960000001</v>
          </cell>
          <cell r="G17">
            <v>47818953.960000001</v>
          </cell>
          <cell r="H17">
            <v>0</v>
          </cell>
        </row>
        <row r="18">
          <cell r="A18" t="str">
            <v>APORTE PREVISION SOCIAL SERVICIOS MEDICOS (NO DE PENSIONES)</v>
          </cell>
          <cell r="B18">
            <v>626000000</v>
          </cell>
          <cell r="C18">
            <v>626000000</v>
          </cell>
          <cell r="D18">
            <v>626000000</v>
          </cell>
          <cell r="E18">
            <v>57802710</v>
          </cell>
          <cell r="F18">
            <v>57802710</v>
          </cell>
          <cell r="G18">
            <v>57802710</v>
          </cell>
          <cell r="H18">
            <v>0</v>
          </cell>
        </row>
        <row r="19">
          <cell r="A19" t="str">
            <v>SENTENCIAS</v>
          </cell>
          <cell r="B19">
            <v>2060000000</v>
          </cell>
          <cell r="C19">
            <v>2060000000</v>
          </cell>
          <cell r="D19">
            <v>103087565</v>
          </cell>
          <cell r="E19">
            <v>83657869</v>
          </cell>
          <cell r="F19">
            <v>11354369</v>
          </cell>
          <cell r="G19">
            <v>11354369</v>
          </cell>
          <cell r="H19">
            <v>0</v>
          </cell>
        </row>
        <row r="20">
          <cell r="A20" t="str">
            <v>CONCILIACIONES</v>
          </cell>
          <cell r="B20">
            <v>2060000000</v>
          </cell>
          <cell r="C20">
            <v>2060000000</v>
          </cell>
          <cell r="D20">
            <v>130978338</v>
          </cell>
          <cell r="E20">
            <v>97566344</v>
          </cell>
          <cell r="F20">
            <v>72754652</v>
          </cell>
          <cell r="G20">
            <v>72754652</v>
          </cell>
          <cell r="H20">
            <v>0</v>
          </cell>
        </row>
        <row r="21">
          <cell r="A21" t="str">
            <v>INCAPACIDADES Y LICENCIAS DE MATERNIDAD Y PATERNIDAD (NO DE PENSIONES)</v>
          </cell>
          <cell r="B21">
            <v>128770000</v>
          </cell>
          <cell r="C21">
            <v>128770000</v>
          </cell>
          <cell r="D21">
            <v>128770000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08</v>
          </cell>
          <cell r="B22">
            <v>288258000</v>
          </cell>
          <cell r="C22">
            <v>288258000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IMPUESTOS</v>
          </cell>
          <cell r="B23">
            <v>51500000</v>
          </cell>
          <cell r="C23">
            <v>51500000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CUOTA DE FISCALIZACIÓN Y AUDITAJE</v>
          </cell>
          <cell r="B24">
            <v>236758000</v>
          </cell>
          <cell r="C24">
            <v>236758000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C</v>
          </cell>
          <cell r="B25">
            <v>161536218750</v>
          </cell>
          <cell r="C25">
            <v>161536218750</v>
          </cell>
          <cell r="D25">
            <v>96459453671.600006</v>
          </cell>
          <cell r="E25">
            <v>72407005995.399994</v>
          </cell>
          <cell r="F25">
            <v>1088161812</v>
          </cell>
          <cell r="G25">
            <v>1088038057</v>
          </cell>
          <cell r="H25">
            <v>0</v>
          </cell>
        </row>
        <row r="26">
          <cell r="A26" t="str">
            <v>3503</v>
          </cell>
          <cell r="B26">
            <v>73429205374</v>
          </cell>
          <cell r="C26">
            <v>73429205374</v>
          </cell>
          <cell r="D26">
            <v>52301940568</v>
          </cell>
          <cell r="E26">
            <v>41900123913</v>
          </cell>
          <cell r="F26">
            <v>934833641</v>
          </cell>
          <cell r="G26">
            <v>934833641</v>
          </cell>
          <cell r="H26">
            <v>0</v>
          </cell>
        </row>
        <row r="27">
          <cell r="A27" t="str">
            <v>INCREMENTO DE LA COBERTURA DE LOS SERVICIOS DE LA RED NACIONAL DE PROTECCIÓN AL CONSUMIDOR EN EL TERRITORIO  NACIONAL</v>
          </cell>
          <cell r="B27">
            <v>39427254112</v>
          </cell>
          <cell r="C27">
            <v>39427254112</v>
          </cell>
          <cell r="D27">
            <v>22265878583</v>
          </cell>
          <cell r="E27">
            <v>17123780216</v>
          </cell>
          <cell r="F27">
            <v>122617878</v>
          </cell>
          <cell r="G27">
            <v>122617878</v>
          </cell>
          <cell r="H27">
            <v>0</v>
          </cell>
        </row>
        <row r="28">
          <cell r="A28" t="str">
            <v>MEJORAMIENTO DEL CONTROL Y VIGILANCIA A LAS CÁMARAS DE COMERCIO Y COMERCIANTES A NIVEL  NACIONAL</v>
          </cell>
          <cell r="B28">
            <v>909785125</v>
          </cell>
          <cell r="C28">
            <v>909785125</v>
          </cell>
          <cell r="D28">
            <v>882233511</v>
          </cell>
          <cell r="E28">
            <v>720162996</v>
          </cell>
          <cell r="F28">
            <v>33045000</v>
          </cell>
          <cell r="G28">
            <v>33045000</v>
          </cell>
          <cell r="H28">
            <v>0</v>
          </cell>
        </row>
        <row r="29">
          <cell r="A29" t="str">
            <v>FORTALECIMIENTO DE LA FUNCIÓN JURISDICCIONAL DE LA SUPERINTENDENCIA DE INDUSTRIA Y COMERCIO A NIVEL  NACIONAL</v>
          </cell>
          <cell r="B29">
            <v>3601793401</v>
          </cell>
          <cell r="C29">
            <v>3601793401</v>
          </cell>
          <cell r="D29">
            <v>3420278063</v>
          </cell>
          <cell r="E29">
            <v>2059938449</v>
          </cell>
          <cell r="F29">
            <v>204451929</v>
          </cell>
          <cell r="G29">
            <v>204451929</v>
          </cell>
          <cell r="H29">
            <v>0</v>
          </cell>
        </row>
        <row r="30">
          <cell r="A30" t="str">
            <v>FORTALECIMIENTO DE LA PROTECCIÓN DE DATOS PERSONALES A NIVEL  NACIONAL</v>
          </cell>
          <cell r="B30">
            <v>2591894878</v>
          </cell>
          <cell r="C30">
            <v>2591894878</v>
          </cell>
          <cell r="D30">
            <v>2516022720</v>
          </cell>
          <cell r="E30">
            <v>2108821807</v>
          </cell>
          <cell r="F30">
            <v>50853330</v>
          </cell>
          <cell r="G30">
            <v>50853330</v>
          </cell>
          <cell r="H30">
            <v>0</v>
          </cell>
        </row>
        <row r="31">
          <cell r="A31" t="str">
            <v>FORTALECIMIENTO DEL RÉGIMEN DE PROTECCIÓN DE LA LIBRE COMPETENCIA ECONÓMICA EN LOS MERCADOS A NIVEL  NACIONAL</v>
          </cell>
          <cell r="B31">
            <v>8032499000</v>
          </cell>
          <cell r="C31">
            <v>8032499000</v>
          </cell>
          <cell r="D31">
            <v>6729404429</v>
          </cell>
          <cell r="E31">
            <v>6299504996</v>
          </cell>
          <cell r="F31">
            <v>248572717</v>
          </cell>
          <cell r="G31">
            <v>248572717</v>
          </cell>
          <cell r="H31">
            <v>0</v>
          </cell>
        </row>
        <row r="32">
          <cell r="A32" t="str">
            <v>FORTALECIMIENTO DE LA ATENCIÓN Y PROMOCIÓN DE TRÁMITES Y SERVICIOS EN EL MARCO DEL SISTEMA DE PROPIEDAD INDUSTRIAL A NIVEL  NACIONAL</v>
          </cell>
          <cell r="B32">
            <v>8791562000</v>
          </cell>
          <cell r="C32">
            <v>8791562000</v>
          </cell>
          <cell r="D32">
            <v>7333423470</v>
          </cell>
          <cell r="E32">
            <v>5799848422</v>
          </cell>
          <cell r="F32">
            <v>18890598</v>
          </cell>
          <cell r="G32">
            <v>18890598</v>
          </cell>
          <cell r="H32">
            <v>0</v>
          </cell>
        </row>
        <row r="33">
          <cell r="A33" t="str">
            <v>MEJORAMIENTO EN LA EJECUCIÓN DE LAS FUNCIONES ASIGNADAS EN MATERIA DE PROTECCIÓN AL CONSUMIDOR A NIVEL  NACIONAL</v>
          </cell>
          <cell r="B33">
            <v>5305076993</v>
          </cell>
          <cell r="C33">
            <v>5305076993</v>
          </cell>
          <cell r="D33">
            <v>4602409286</v>
          </cell>
          <cell r="E33">
            <v>3860273147</v>
          </cell>
          <cell r="F33">
            <v>95837193</v>
          </cell>
          <cell r="G33">
            <v>95837193</v>
          </cell>
          <cell r="H33">
            <v>0</v>
          </cell>
        </row>
        <row r="34">
          <cell r="A34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  <cell r="B34">
            <v>4769339865</v>
          </cell>
          <cell r="C34">
            <v>4769339865</v>
          </cell>
          <cell r="D34">
            <v>4552290506</v>
          </cell>
          <cell r="E34">
            <v>3927793880</v>
          </cell>
          <cell r="F34">
            <v>160564996</v>
          </cell>
          <cell r="G34">
            <v>160564996</v>
          </cell>
          <cell r="H34">
            <v>0</v>
          </cell>
        </row>
        <row r="35">
          <cell r="A35" t="str">
            <v>3599</v>
          </cell>
          <cell r="B35">
            <v>88107013376</v>
          </cell>
          <cell r="C35">
            <v>88107013376</v>
          </cell>
          <cell r="D35">
            <v>44157513103.599998</v>
          </cell>
          <cell r="E35">
            <v>30506882082.399998</v>
          </cell>
          <cell r="F35">
            <v>153328171</v>
          </cell>
          <cell r="G35">
            <v>153204416</v>
          </cell>
          <cell r="H35">
            <v>0</v>
          </cell>
        </row>
        <row r="36">
          <cell r="A36" t="str">
            <v>IMPLEMENTACIÓN DE UNA SOLUCIÓN INMOBILIARIA PARA LA SUPERINTENDENCIA DE INDUSTRIA Y COMERCIO EN  BOGOTÁ</v>
          </cell>
          <cell r="B36">
            <v>30262520191</v>
          </cell>
          <cell r="C36">
            <v>30262520191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FORTALECIMIENTO DEL SISTEMA DE ATENCIÓN AL CIUDADANO DE LA SUPERINTENDENCIA DE INDUSTRIA Y COMERCIO A NIVEL  NACIONAL</v>
          </cell>
          <cell r="B37">
            <v>28050706799</v>
          </cell>
          <cell r="C37">
            <v>28050706799</v>
          </cell>
          <cell r="D37">
            <v>24342870099.799999</v>
          </cell>
          <cell r="E37">
            <v>20738665567.599998</v>
          </cell>
          <cell r="F37">
            <v>66935581</v>
          </cell>
          <cell r="G37">
            <v>66811826</v>
          </cell>
          <cell r="H37">
            <v>0</v>
          </cell>
        </row>
        <row r="38">
          <cell r="A38" t="str">
            <v>MEJORAMIENTO DE LOS SISTEMAS DE INFORMACIÓN Y SERVICIOS TECNOLÓGICOS DE LA SUPERINTENDENCIA DE INDUSTRIA Y COMERCIO EN EL TERRITORIO  NACIONAL</v>
          </cell>
          <cell r="B38">
            <v>25661863246</v>
          </cell>
          <cell r="C38">
            <v>25661863246</v>
          </cell>
          <cell r="D38">
            <v>16707539346.799999</v>
          </cell>
          <cell r="E38">
            <v>7490165177.8000002</v>
          </cell>
          <cell r="F38">
            <v>46379074</v>
          </cell>
          <cell r="G38">
            <v>46379074</v>
          </cell>
          <cell r="H38">
            <v>0</v>
          </cell>
        </row>
        <row r="39">
          <cell r="A39" t="str">
            <v>MEJORAMIENTO DE LA INFRAESTRUCTURA FÍSICA DE LA SEDE DE LA SUPERINTENDENCIA DE INDUSTRIA Y COMERCIO EN  BOGOTÁ</v>
          </cell>
          <cell r="B39">
            <v>773529015</v>
          </cell>
          <cell r="C39">
            <v>773529015</v>
          </cell>
          <cell r="D39">
            <v>589512464</v>
          </cell>
          <cell r="E39">
            <v>36811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MEJORAMIENTO EN LA CALIDAD DE LA GESTIÓN ESTRATÉGICA DE LA SUPERINTENDENCIA DE INDUSTRIA Y COMERCIO A NIVEL  NACIONAL</v>
          </cell>
          <cell r="B40">
            <v>3358394125</v>
          </cell>
          <cell r="C40">
            <v>3358394125</v>
          </cell>
          <cell r="D40">
            <v>2517591193</v>
          </cell>
          <cell r="E40">
            <v>2278014526</v>
          </cell>
          <cell r="F40">
            <v>40013516</v>
          </cell>
          <cell r="G40">
            <v>40013516</v>
          </cell>
          <cell r="H40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FEBRERO - 2019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B9+B14+B17</f>
        <v>78755679868</v>
      </c>
      <c r="C8" s="16">
        <f>C9+C14+C17</f>
        <v>78755679868</v>
      </c>
      <c r="D8" s="16">
        <f>D9+D14+D17</f>
        <v>16108333765.639999</v>
      </c>
      <c r="E8" s="17">
        <f t="shared" ref="E8:E9" si="0">+D8/C8</f>
        <v>0.20453551785266394</v>
      </c>
      <c r="F8" s="16">
        <f>F9+F14+F17</f>
        <v>8953646037.9599991</v>
      </c>
      <c r="G8" s="17">
        <f t="shared" ref="G8:G9" si="1">+F8/C8</f>
        <v>0.11368889269912891</v>
      </c>
      <c r="H8" s="16">
        <f>H9+H14+H17</f>
        <v>68861840067</v>
      </c>
      <c r="I8" s="16">
        <f>I9+I14+I17</f>
        <v>8953646037.9599991</v>
      </c>
      <c r="J8" s="16">
        <f>J9+J14+J17</f>
        <v>9893839801</v>
      </c>
      <c r="K8" s="17">
        <f t="shared" ref="K8:K9" si="2">+J8/C8</f>
        <v>0.12562700007901353</v>
      </c>
      <c r="L8" s="16">
        <f>L9+L14+L17</f>
        <v>62647346102.360001</v>
      </c>
      <c r="M8" s="17">
        <f t="shared" ref="M8:M9" si="3">+L8/C8</f>
        <v>0.79546448214733612</v>
      </c>
      <c r="N8" s="16">
        <f>N9+N14+N17</f>
        <v>69802033830.039993</v>
      </c>
      <c r="O8" s="17">
        <f t="shared" ref="O8:O9" si="4">+N8/C8</f>
        <v>0.88631110730087104</v>
      </c>
    </row>
    <row r="9" spans="1:15" s="18" customFormat="1" ht="15.75" x14ac:dyDescent="0.25">
      <c r="A9" s="19" t="s">
        <v>19</v>
      </c>
      <c r="B9" s="20">
        <f>SUM(B10:B13)</f>
        <v>58763996000</v>
      </c>
      <c r="C9" s="20">
        <f>SUM(C10:C13)</f>
        <v>58763996000</v>
      </c>
      <c r="D9" s="20">
        <f>SUM(D10:D13)</f>
        <v>6446552074</v>
      </c>
      <c r="E9" s="21">
        <f t="shared" si="0"/>
        <v>0.10970241155826095</v>
      </c>
      <c r="F9" s="20">
        <f>SUM(F10:F13)</f>
        <v>6446552074</v>
      </c>
      <c r="G9" s="21">
        <f t="shared" si="1"/>
        <v>0.10970241155826095</v>
      </c>
      <c r="H9" s="20">
        <f>SUM(H10:H13)</f>
        <v>56893965000</v>
      </c>
      <c r="I9" s="20">
        <f>SUM(I10:I13)</f>
        <v>6446552074</v>
      </c>
      <c r="J9" s="20">
        <f>SUM(J10:J13)</f>
        <v>1870031000</v>
      </c>
      <c r="K9" s="21">
        <f t="shared" si="2"/>
        <v>3.1822733770521666E-2</v>
      </c>
      <c r="L9" s="20">
        <f>SUM(L10:L13)</f>
        <v>52317443926</v>
      </c>
      <c r="M9" s="21">
        <f t="shared" si="3"/>
        <v>0.89029758844173901</v>
      </c>
      <c r="N9" s="20">
        <f>SUM(N10:N13)</f>
        <v>52317443926</v>
      </c>
      <c r="O9" s="21">
        <f t="shared" si="4"/>
        <v>0.89029758844173901</v>
      </c>
    </row>
    <row r="10" spans="1:15" x14ac:dyDescent="0.25">
      <c r="A10" s="22" t="str">
        <f>+'[1]TD-EPA'!A6</f>
        <v>SALARIO</v>
      </c>
      <c r="B10" s="23">
        <f>VLOOKUP(A10,'[1]TD-EPA'!$A$5:$H$36,2,0)</f>
        <v>40628002000</v>
      </c>
      <c r="C10" s="24">
        <f>VLOOKUP(A10,'[1]TD-EPA'!$A$5:$H$36,3,0)</f>
        <v>40628002000</v>
      </c>
      <c r="D10" s="24">
        <f>VLOOKUP(A10,'[1]TD-EPA'!$A$5:$H$36,5,0)</f>
        <v>5392772917</v>
      </c>
      <c r="E10" s="25">
        <f>+D10/C10</f>
        <v>0.13273537096409516</v>
      </c>
      <c r="F10" s="23">
        <f>VLOOKUP(A10,'[1]TD-EPA'!$A$5:$H$36,6,0)</f>
        <v>5392772917</v>
      </c>
      <c r="G10" s="25">
        <f>+F10/C10</f>
        <v>0.13273537096409516</v>
      </c>
      <c r="H10" s="23">
        <f>VLOOKUP(A10,'[1]TD-EPA'!$A$5:$H$36,4,0)</f>
        <v>40628002000</v>
      </c>
      <c r="I10" s="23">
        <f>VLOOKUP(A10,'[1]TD-EPA'!$A$5:$H$36,7,0)</f>
        <v>5392772917</v>
      </c>
      <c r="J10" s="23">
        <f>+C10-H10</f>
        <v>0</v>
      </c>
      <c r="K10" s="25">
        <f>+J10/C10</f>
        <v>0</v>
      </c>
      <c r="L10" s="23">
        <f>+C10-D10</f>
        <v>35235229083</v>
      </c>
      <c r="M10" s="25">
        <f>+L10/C10</f>
        <v>0.86726462903590484</v>
      </c>
      <c r="N10" s="23">
        <f>+C10-F10</f>
        <v>35235229083</v>
      </c>
      <c r="O10" s="25">
        <f>+N10/C10</f>
        <v>0.86726462903590484</v>
      </c>
    </row>
    <row r="11" spans="1:15" ht="28.5" x14ac:dyDescent="0.25">
      <c r="A11" s="22" t="str">
        <f>+'[1]TD-EPA'!A7</f>
        <v>CONTRIBUCIONES INHERENTES A LA NÓMINA</v>
      </c>
      <c r="B11" s="23">
        <f>VLOOKUP(A11,'[1]TD-EPA'!$A$5:$H$36,2,0)</f>
        <v>13022354000</v>
      </c>
      <c r="C11" s="24">
        <f>VLOOKUP(A11,'[1]TD-EPA'!$A$5:$H$36,3,0)</f>
        <v>13022354000</v>
      </c>
      <c r="D11" s="24">
        <f>VLOOKUP(A11,'[1]TD-EPA'!$A$5:$H$36,5,0)</f>
        <v>967720728</v>
      </c>
      <c r="E11" s="25">
        <f t="shared" ref="E11:E42" si="5">D11/C11</f>
        <v>7.4312273188088723E-2</v>
      </c>
      <c r="F11" s="23">
        <f>VLOOKUP(A11,'[1]TD-EPA'!$A$5:$H$36,6,0)</f>
        <v>967720728</v>
      </c>
      <c r="G11" s="25">
        <f t="shared" ref="G11:G42" si="6">+F11/C11</f>
        <v>7.4312273188088723E-2</v>
      </c>
      <c r="H11" s="23">
        <f>VLOOKUP(A11,'[1]TD-EPA'!$A$5:$H$36,4,0)</f>
        <v>13022354000</v>
      </c>
      <c r="I11" s="23">
        <f>VLOOKUP(A11,'[1]TD-EPA'!$A$5:$H$36,7,0)</f>
        <v>967720728</v>
      </c>
      <c r="J11" s="23">
        <f t="shared" ref="J11:J41" si="7">+C11-H11</f>
        <v>0</v>
      </c>
      <c r="K11" s="25">
        <f t="shared" ref="K11:K42" si="8">+J11/C11</f>
        <v>0</v>
      </c>
      <c r="L11" s="23">
        <f t="shared" ref="L11:L41" si="9">+C11-D11</f>
        <v>12054633272</v>
      </c>
      <c r="M11" s="25">
        <f>+L11/C11</f>
        <v>0.92568772681191125</v>
      </c>
      <c r="N11" s="23">
        <f t="shared" ref="N11:N41" si="10">+C11-F11</f>
        <v>12054633272</v>
      </c>
      <c r="O11" s="25">
        <f t="shared" ref="O11:O42" si="11">+N11/C11</f>
        <v>0.92568772681191125</v>
      </c>
    </row>
    <row r="12" spans="1:15" ht="28.5" x14ac:dyDescent="0.25">
      <c r="A12" s="22" t="str">
        <f>+'[1]TD-EPA'!A8</f>
        <v>REMUNERACIONES NO CONSTITUTIVAS DE FACTOR SALARIAL</v>
      </c>
      <c r="B12" s="23">
        <f>VLOOKUP(A12,'[1]TD-EPA'!$A$5:$H$36,2,0)</f>
        <v>3243609000</v>
      </c>
      <c r="C12" s="24">
        <f>VLOOKUP(A12,'[1]TD-EPA'!$A$5:$H$36,3,0)</f>
        <v>3243609000</v>
      </c>
      <c r="D12" s="24">
        <f>VLOOKUP(A12,'[1]TD-EPA'!$A$5:$H$36,5,0)</f>
        <v>86058429</v>
      </c>
      <c r="E12" s="25">
        <f t="shared" si="5"/>
        <v>2.6531690163641795E-2</v>
      </c>
      <c r="F12" s="23">
        <f>VLOOKUP(A12,'[1]TD-EPA'!$A$5:$H$36,6,0)</f>
        <v>86058429</v>
      </c>
      <c r="G12" s="25">
        <f t="shared" si="6"/>
        <v>2.6531690163641795E-2</v>
      </c>
      <c r="H12" s="23">
        <f>VLOOKUP(A12,'[1]TD-EPA'!$A$5:$H$36,4,0)</f>
        <v>3243609000</v>
      </c>
      <c r="I12" s="23">
        <f>VLOOKUP(A12,'[1]TD-EPA'!$A$5:$H$36,7,0)</f>
        <v>86058429</v>
      </c>
      <c r="J12" s="23">
        <f t="shared" si="7"/>
        <v>0</v>
      </c>
      <c r="K12" s="25">
        <f t="shared" si="8"/>
        <v>0</v>
      </c>
      <c r="L12" s="23">
        <f t="shared" si="9"/>
        <v>3157550571</v>
      </c>
      <c r="M12" s="25">
        <f t="shared" ref="M12:M42" si="12">+L12/C12</f>
        <v>0.97346830983635824</v>
      </c>
      <c r="N12" s="23">
        <f t="shared" si="10"/>
        <v>3157550571</v>
      </c>
      <c r="O12" s="25">
        <f t="shared" si="11"/>
        <v>0.97346830983635824</v>
      </c>
    </row>
    <row r="13" spans="1:15" ht="28.5" x14ac:dyDescent="0.25">
      <c r="A13" s="22" t="str">
        <f>+'[1]TD-EPA'!A9</f>
        <v>OTROS GASTOS DE PERSONAL - PREVIO CONCEPTO DGPPN</v>
      </c>
      <c r="B13" s="23">
        <f>VLOOKUP(A13,'[1]TD-EPA'!$A$5:$H$36,2,0)</f>
        <v>1870031000</v>
      </c>
      <c r="C13" s="24">
        <f>VLOOKUP(A13,'[1]TD-EPA'!$A$5:$H$36,3,0)</f>
        <v>1870031000</v>
      </c>
      <c r="D13" s="24">
        <f>VLOOKUP(A13,'[1]TD-EPA'!$A$5:$H$36,5,0)</f>
        <v>0</v>
      </c>
      <c r="E13" s="25">
        <f t="shared" si="5"/>
        <v>0</v>
      </c>
      <c r="F13" s="23">
        <f>VLOOKUP(A13,'[1]TD-EPA'!$A$5:$H$36,6,0)</f>
        <v>0</v>
      </c>
      <c r="G13" s="25">
        <f t="shared" si="6"/>
        <v>0</v>
      </c>
      <c r="H13" s="23">
        <f>VLOOKUP(A13,'[1]TD-EPA'!$A$5:$H$36,4,0)</f>
        <v>0</v>
      </c>
      <c r="I13" s="23">
        <f>VLOOKUP(A13,'[1]TD-EPA'!$A$5:$H$36,7,0)</f>
        <v>0</v>
      </c>
      <c r="J13" s="23">
        <f t="shared" si="7"/>
        <v>1870031000</v>
      </c>
      <c r="K13" s="25">
        <f t="shared" si="8"/>
        <v>1</v>
      </c>
      <c r="L13" s="23">
        <f t="shared" si="9"/>
        <v>1870031000</v>
      </c>
      <c r="M13" s="25">
        <f t="shared" si="12"/>
        <v>1</v>
      </c>
      <c r="N13" s="23">
        <f t="shared" si="10"/>
        <v>1870031000</v>
      </c>
      <c r="O13" s="25">
        <f t="shared" si="11"/>
        <v>1</v>
      </c>
    </row>
    <row r="14" spans="1:15" s="18" customFormat="1" ht="15" customHeight="1" x14ac:dyDescent="0.25">
      <c r="A14" s="19" t="s">
        <v>20</v>
      </c>
      <c r="B14" s="20">
        <f>SUM(B15:B16)</f>
        <v>12676328868</v>
      </c>
      <c r="C14" s="20">
        <f>SUM(C15:C16)</f>
        <v>12676328868</v>
      </c>
      <c r="D14" s="20">
        <f>SUM(D15:D16)</f>
        <v>9374570814.6800003</v>
      </c>
      <c r="E14" s="21">
        <f t="shared" si="5"/>
        <v>0.73953357571410716</v>
      </c>
      <c r="F14" s="20">
        <f t="shared" ref="F14" si="13">SUM(F15:F16)</f>
        <v>2317363279</v>
      </c>
      <c r="G14" s="21">
        <f t="shared" si="6"/>
        <v>0.18281028388668025</v>
      </c>
      <c r="H14" s="20">
        <f t="shared" ref="H14:N14" si="14">SUM(H15:H16)</f>
        <v>10560674164</v>
      </c>
      <c r="I14" s="20">
        <f t="shared" si="14"/>
        <v>2317363279</v>
      </c>
      <c r="J14" s="20">
        <f t="shared" si="14"/>
        <v>2115654704</v>
      </c>
      <c r="K14" s="21">
        <f t="shared" si="8"/>
        <v>0.16689806063179205</v>
      </c>
      <c r="L14" s="20">
        <f t="shared" si="14"/>
        <v>3301758053.3199997</v>
      </c>
      <c r="M14" s="21">
        <f t="shared" si="12"/>
        <v>0.26046642428589284</v>
      </c>
      <c r="N14" s="20">
        <f t="shared" si="14"/>
        <v>10358965589</v>
      </c>
      <c r="O14" s="21">
        <f t="shared" si="11"/>
        <v>0.81718971611331981</v>
      </c>
    </row>
    <row r="15" spans="1:15" ht="28.5" x14ac:dyDescent="0.25">
      <c r="A15" s="22" t="str">
        <f>+'[1]TD-EPA'!A11</f>
        <v>ADQUISICIÓN DE ACTIVOS NO FINANCIEROS</v>
      </c>
      <c r="B15" s="23">
        <f>VLOOKUP(A15,'[1]TD-EPA'!$A$5:$H$36,2,0)</f>
        <v>10000000</v>
      </c>
      <c r="C15" s="24">
        <f>VLOOKUP(A15,'[1]TD-EPA'!$A$5:$H$36,3,0)</f>
        <v>10000000</v>
      </c>
      <c r="D15" s="24">
        <f>VLOOKUP(A15,'[1]TD-EPA'!$A$5:$H$36,5,0)</f>
        <v>4000000</v>
      </c>
      <c r="E15" s="25">
        <f t="shared" si="5"/>
        <v>0.4</v>
      </c>
      <c r="F15" s="23">
        <f>VLOOKUP(A15,'[1]TD-EPA'!$A$5:$H$36,6,0)</f>
        <v>4000000</v>
      </c>
      <c r="G15" s="25">
        <f t="shared" si="6"/>
        <v>0.4</v>
      </c>
      <c r="H15" s="23">
        <f>VLOOKUP(A15,'[1]TD-EPA'!$A$5:$H$36,4,0)</f>
        <v>4000000</v>
      </c>
      <c r="I15" s="23">
        <f>VLOOKUP(A15,'[1]TD-EPA'!$A$5:$H$36,7,0)</f>
        <v>4000000</v>
      </c>
      <c r="J15" s="23">
        <f t="shared" si="7"/>
        <v>6000000</v>
      </c>
      <c r="K15" s="25">
        <f t="shared" si="8"/>
        <v>0.6</v>
      </c>
      <c r="L15" s="23">
        <f t="shared" si="9"/>
        <v>6000000</v>
      </c>
      <c r="M15" s="25">
        <f t="shared" si="12"/>
        <v>0.6</v>
      </c>
      <c r="N15" s="23">
        <f t="shared" si="10"/>
        <v>6000000</v>
      </c>
      <c r="O15" s="25">
        <f t="shared" si="11"/>
        <v>0.6</v>
      </c>
    </row>
    <row r="16" spans="1:15" x14ac:dyDescent="0.25">
      <c r="A16" s="22" t="str">
        <f>+'[1]TD-EPA'!A12</f>
        <v>ADQUISICIONES DIFERENTES DE ACTIVOS</v>
      </c>
      <c r="B16" s="23">
        <f>VLOOKUP(A16,'[1]TD-EPA'!$A$5:$H$36,2,0)</f>
        <v>12666328868</v>
      </c>
      <c r="C16" s="24">
        <f>VLOOKUP(A16,'[1]TD-EPA'!$A$5:$H$36,3,0)</f>
        <v>12666328868</v>
      </c>
      <c r="D16" s="24">
        <f>VLOOKUP(A16,'[1]TD-EPA'!$A$5:$H$36,5,0)</f>
        <v>9370570814.6800003</v>
      </c>
      <c r="E16" s="25">
        <f t="shared" si="5"/>
        <v>0.73980163568574731</v>
      </c>
      <c r="F16" s="23">
        <f>VLOOKUP(A16,'[1]TD-EPA'!$A$5:$H$36,6,0)</f>
        <v>2313363279</v>
      </c>
      <c r="G16" s="25">
        <f t="shared" si="6"/>
        <v>0.18263881374850782</v>
      </c>
      <c r="H16" s="23">
        <f>VLOOKUP(A16,'[1]TD-EPA'!$A$5:$H$36,4,0)</f>
        <v>10556674164</v>
      </c>
      <c r="I16" s="23">
        <f>VLOOKUP(A16,'[1]TD-EPA'!$A$5:$H$36,7,0)</f>
        <v>2313363279</v>
      </c>
      <c r="J16" s="23">
        <f t="shared" si="7"/>
        <v>2109654704</v>
      </c>
      <c r="K16" s="25">
        <f t="shared" si="8"/>
        <v>0.16655612892933769</v>
      </c>
      <c r="L16" s="23">
        <f t="shared" si="9"/>
        <v>3295758053.3199997</v>
      </c>
      <c r="M16" s="25">
        <f t="shared" si="12"/>
        <v>0.26019836431425269</v>
      </c>
      <c r="N16" s="23">
        <f t="shared" si="10"/>
        <v>10352965589</v>
      </c>
      <c r="O16" s="25">
        <f t="shared" si="11"/>
        <v>0.81736118625149212</v>
      </c>
    </row>
    <row r="17" spans="1:15" s="18" customFormat="1" ht="15.75" x14ac:dyDescent="0.25">
      <c r="A17" s="19" t="s">
        <v>21</v>
      </c>
      <c r="B17" s="20">
        <f>SUM(B18:B27)</f>
        <v>7315355000</v>
      </c>
      <c r="C17" s="20">
        <f>SUM(C18:C27)</f>
        <v>7315355000</v>
      </c>
      <c r="D17" s="20">
        <f>SUM(D18:D27)</f>
        <v>287210876.96000004</v>
      </c>
      <c r="E17" s="21">
        <f>D17/C17</f>
        <v>3.9261372409131211E-2</v>
      </c>
      <c r="F17" s="20">
        <f>SUM(F18:F27)</f>
        <v>189730684.96000001</v>
      </c>
      <c r="G17" s="21">
        <f>+F17/C17</f>
        <v>2.5935950471303169E-2</v>
      </c>
      <c r="H17" s="20">
        <f>SUM(H18:H27)</f>
        <v>1407200903</v>
      </c>
      <c r="I17" s="20">
        <f>SUM(I18:I27)</f>
        <v>189730684.96000001</v>
      </c>
      <c r="J17" s="20">
        <f>SUM(J18:J27)</f>
        <v>5908154097</v>
      </c>
      <c r="K17" s="21">
        <f t="shared" si="8"/>
        <v>0.80763737330587515</v>
      </c>
      <c r="L17" s="20">
        <f>SUM(L18:L27)</f>
        <v>7028144123.04</v>
      </c>
      <c r="M17" s="21">
        <f t="shared" si="12"/>
        <v>0.96073862759086881</v>
      </c>
      <c r="N17" s="20">
        <f>SUM(N18:N27)</f>
        <v>7125624315.04</v>
      </c>
      <c r="O17" s="21">
        <f>+N17/C17</f>
        <v>0.97406404952869685</v>
      </c>
    </row>
    <row r="18" spans="1:15" ht="42.75" x14ac:dyDescent="0.25">
      <c r="A18" s="22" t="str">
        <f>+'[1]TD-EPA'!A14</f>
        <v>CONVENCION DEL METRO - OFICINA INTERNACIONAL DE PESAS Y MEDIDAS - BIPM. LEY 1512 DE 2012</v>
      </c>
      <c r="B18" s="23">
        <f>VLOOKUP(A18,'[1]TD-EPA'!$A$5:$H$36,2,0)</f>
        <v>81269000</v>
      </c>
      <c r="C18" s="24">
        <f>VLOOKUP(A18,'[1]TD-EPA'!$A$5:$H$36,3,0)</f>
        <v>81269000</v>
      </c>
      <c r="D18" s="24">
        <f>VLOOKUP(A18,'[1]TD-EPA'!$A$5:$H$36,5,0)</f>
        <v>0</v>
      </c>
      <c r="E18" s="25">
        <f t="shared" si="5"/>
        <v>0</v>
      </c>
      <c r="F18" s="23">
        <f>VLOOKUP(A18,'[1]TD-EPA'!$A$5:$H$36,6,0)</f>
        <v>0</v>
      </c>
      <c r="G18" s="25">
        <f t="shared" si="6"/>
        <v>0</v>
      </c>
      <c r="H18" s="23">
        <f>VLOOKUP(A18,'[1]TD-EPA'!$A$5:$H$36,4,0)</f>
        <v>0</v>
      </c>
      <c r="I18" s="23">
        <f>VLOOKUP(A18,'[1]TD-EPA'!$A$5:$H$36,7,0)</f>
        <v>0</v>
      </c>
      <c r="J18" s="23">
        <f t="shared" si="7"/>
        <v>81269000</v>
      </c>
      <c r="K18" s="25">
        <f t="shared" si="8"/>
        <v>1</v>
      </c>
      <c r="L18" s="23">
        <f t="shared" si="9"/>
        <v>81269000</v>
      </c>
      <c r="M18" s="25">
        <f t="shared" si="12"/>
        <v>1</v>
      </c>
      <c r="N18" s="23">
        <f t="shared" si="10"/>
        <v>81269000</v>
      </c>
      <c r="O18" s="25">
        <f t="shared" si="11"/>
        <v>1</v>
      </c>
    </row>
    <row r="19" spans="1:15" ht="42.75" x14ac:dyDescent="0.25">
      <c r="A19" s="22" t="str">
        <f>+'[1]TD-EPA'!A15</f>
        <v>ORGANIZACION PARA LA COOPERACION Y EL DESARROLLO ECONOMICO OCDE-ARTICULO 47 LEY 1450 DE 2011</v>
      </c>
      <c r="B19" s="23">
        <f>VLOOKUP(A19,'[1]TD-EPA'!$A$5:$H$36,2,0)</f>
        <v>206493000</v>
      </c>
      <c r="C19" s="24">
        <f>VLOOKUP(A19,'[1]TD-EPA'!$A$5:$H$36,3,0)</f>
        <v>206493000</v>
      </c>
      <c r="D19" s="24">
        <f>VLOOKUP(A19,'[1]TD-EPA'!$A$5:$H$36,5,0)</f>
        <v>0</v>
      </c>
      <c r="E19" s="25">
        <f t="shared" si="5"/>
        <v>0</v>
      </c>
      <c r="F19" s="23">
        <f>VLOOKUP(A19,'[1]TD-EPA'!$A$5:$H$36,6,0)</f>
        <v>0</v>
      </c>
      <c r="G19" s="25">
        <f t="shared" si="6"/>
        <v>0</v>
      </c>
      <c r="H19" s="23">
        <f>VLOOKUP(A19,'[1]TD-EPA'!$A$5:$H$36,4,0)</f>
        <v>0</v>
      </c>
      <c r="I19" s="23">
        <f>VLOOKUP(A19,'[1]TD-EPA'!$A$5:$H$36,7,0)</f>
        <v>0</v>
      </c>
      <c r="J19" s="23">
        <f t="shared" si="7"/>
        <v>206493000</v>
      </c>
      <c r="K19" s="25">
        <f t="shared" si="8"/>
        <v>1</v>
      </c>
      <c r="L19" s="23">
        <f t="shared" si="9"/>
        <v>206493000</v>
      </c>
      <c r="M19" s="25">
        <f t="shared" si="12"/>
        <v>1</v>
      </c>
      <c r="N19" s="23">
        <f t="shared" si="10"/>
        <v>206493000</v>
      </c>
      <c r="O19" s="25">
        <f t="shared" si="11"/>
        <v>1</v>
      </c>
    </row>
    <row r="20" spans="1:15" ht="57" x14ac:dyDescent="0.25">
      <c r="A20" s="22" t="str">
        <f>+'[1]TD-EPA'!A16</f>
        <v>PROVISIÓN PARA GASTOS INSTITUCIONALES Y/O SECTORIALES CONTINGENTES- PREVIO CONCEPTO DGPPN</v>
      </c>
      <c r="B20" s="23">
        <f>VLOOKUP(A20,'[1]TD-EPA'!$A$5:$H$36,2,0)</f>
        <v>1446200000</v>
      </c>
      <c r="C20" s="24">
        <f>VLOOKUP(A20,'[1]TD-EPA'!$A$5:$H$36,3,0)</f>
        <v>1446200000</v>
      </c>
      <c r="D20" s="24">
        <f>VLOOKUP(A20,'[1]TD-EPA'!$A$5:$H$36,5,0)</f>
        <v>0</v>
      </c>
      <c r="E20" s="25">
        <f t="shared" si="5"/>
        <v>0</v>
      </c>
      <c r="F20" s="23">
        <f>VLOOKUP(A20,'[1]TD-EPA'!$A$5:$H$36,6,0)</f>
        <v>0</v>
      </c>
      <c r="G20" s="25">
        <f t="shared" si="6"/>
        <v>0</v>
      </c>
      <c r="H20" s="23">
        <f>VLOOKUP(A20,'[1]TD-EPA'!$A$5:$H$36,4,0)</f>
        <v>0</v>
      </c>
      <c r="I20" s="23">
        <f>VLOOKUP(A20,'[1]TD-EPA'!$A$5:$H$36,7,0)</f>
        <v>0</v>
      </c>
      <c r="J20" s="23">
        <f t="shared" si="7"/>
        <v>1446200000</v>
      </c>
      <c r="K20" s="25">
        <f t="shared" si="8"/>
        <v>1</v>
      </c>
      <c r="L20" s="23">
        <f t="shared" si="9"/>
        <v>1446200000</v>
      </c>
      <c r="M20" s="25">
        <f t="shared" si="12"/>
        <v>1</v>
      </c>
      <c r="N20" s="23">
        <f t="shared" si="10"/>
        <v>1446200000</v>
      </c>
      <c r="O20" s="25">
        <f t="shared" si="11"/>
        <v>1</v>
      </c>
    </row>
    <row r="21" spans="1:15" x14ac:dyDescent="0.25">
      <c r="A21" s="22" t="str">
        <f>+'[1]TD-EPA'!A17</f>
        <v>MESADAS PENSIONALES (DE PENSIONES)</v>
      </c>
      <c r="B21" s="23">
        <f>VLOOKUP(A21,'[1]TD-EPA'!$A$5:$H$36,2,0)</f>
        <v>418365000</v>
      </c>
      <c r="C21" s="24">
        <f>VLOOKUP(A21,'[1]TD-EPA'!$A$5:$H$36,3,0)</f>
        <v>418365000</v>
      </c>
      <c r="D21" s="24">
        <f>VLOOKUP(A21,'[1]TD-EPA'!$A$5:$H$36,5,0)</f>
        <v>48183953.960000001</v>
      </c>
      <c r="E21" s="25">
        <f t="shared" si="5"/>
        <v>0.11517204823539254</v>
      </c>
      <c r="F21" s="23">
        <f>VLOOKUP(A21,'[1]TD-EPA'!$A$5:$H$36,6,0)</f>
        <v>47818953.960000001</v>
      </c>
      <c r="G21" s="25">
        <f t="shared" si="6"/>
        <v>0.11429960431680471</v>
      </c>
      <c r="H21" s="23">
        <f>VLOOKUP(A21,'[1]TD-EPA'!$A$5:$H$36,4,0)</f>
        <v>418365000</v>
      </c>
      <c r="I21" s="23">
        <f>VLOOKUP(A21,'[1]TD-EPA'!$A$5:$H$36,7,0)</f>
        <v>47818953.960000001</v>
      </c>
      <c r="J21" s="23">
        <f t="shared" si="7"/>
        <v>0</v>
      </c>
      <c r="K21" s="25">
        <f t="shared" si="8"/>
        <v>0</v>
      </c>
      <c r="L21" s="23">
        <f t="shared" si="9"/>
        <v>370181046.04000002</v>
      </c>
      <c r="M21" s="25">
        <f t="shared" si="12"/>
        <v>0.88482795176460749</v>
      </c>
      <c r="N21" s="23">
        <f t="shared" si="10"/>
        <v>370546046.04000002</v>
      </c>
      <c r="O21" s="25">
        <f t="shared" si="11"/>
        <v>0.88570039568319536</v>
      </c>
    </row>
    <row r="22" spans="1:15" ht="28.5" x14ac:dyDescent="0.25">
      <c r="A22" s="22" t="str">
        <f>+'[1]TD-EPA'!A18</f>
        <v>APORTE PREVISION SOCIAL SERVICIOS MEDICOS (NO DE PENSIONES)</v>
      </c>
      <c r="B22" s="23">
        <f>VLOOKUP(A22,'[1]TD-EPA'!$A$5:$H$36,2,0)</f>
        <v>626000000</v>
      </c>
      <c r="C22" s="24">
        <f>VLOOKUP(A22,'[1]TD-EPA'!$A$5:$H$36,3,0)</f>
        <v>626000000</v>
      </c>
      <c r="D22" s="24">
        <f>VLOOKUP(A22,'[1]TD-EPA'!$A$5:$H$36,5,0)</f>
        <v>57802710</v>
      </c>
      <c r="E22" s="25">
        <f t="shared" si="5"/>
        <v>9.2336597444089452E-2</v>
      </c>
      <c r="F22" s="23">
        <f>VLOOKUP(A22,'[1]TD-EPA'!$A$5:$H$36,6,0)</f>
        <v>57802710</v>
      </c>
      <c r="G22" s="25">
        <f t="shared" si="6"/>
        <v>9.2336597444089452E-2</v>
      </c>
      <c r="H22" s="23">
        <f>VLOOKUP(A22,'[1]TD-EPA'!$A$5:$H$36,4,0)</f>
        <v>626000000</v>
      </c>
      <c r="I22" s="23">
        <f>VLOOKUP(A22,'[1]TD-EPA'!$A$5:$H$36,7,0)</f>
        <v>57802710</v>
      </c>
      <c r="J22" s="23">
        <f t="shared" si="7"/>
        <v>0</v>
      </c>
      <c r="K22" s="25">
        <f t="shared" si="8"/>
        <v>0</v>
      </c>
      <c r="L22" s="23">
        <f t="shared" si="9"/>
        <v>568197290</v>
      </c>
      <c r="M22" s="25">
        <f t="shared" si="12"/>
        <v>0.90766340255591049</v>
      </c>
      <c r="N22" s="23">
        <f t="shared" si="10"/>
        <v>568197290</v>
      </c>
      <c r="O22" s="25">
        <f t="shared" si="11"/>
        <v>0.90766340255591049</v>
      </c>
    </row>
    <row r="23" spans="1:15" x14ac:dyDescent="0.25">
      <c r="A23" s="22" t="str">
        <f>+'[1]TD-EPA'!A19</f>
        <v>SENTENCIAS</v>
      </c>
      <c r="B23" s="23">
        <f>VLOOKUP(A23,'[1]TD-EPA'!$A$5:$H$36,2,0)</f>
        <v>2060000000</v>
      </c>
      <c r="C23" s="24">
        <f>VLOOKUP(A23,'[1]TD-EPA'!$A$5:$H$36,3,0)</f>
        <v>2060000000</v>
      </c>
      <c r="D23" s="24">
        <f>VLOOKUP(A23,'[1]TD-EPA'!$A$5:$H$36,5,0)</f>
        <v>83657869</v>
      </c>
      <c r="E23" s="25">
        <f t="shared" si="5"/>
        <v>4.0610616019417477E-2</v>
      </c>
      <c r="F23" s="23">
        <f>VLOOKUP(A23,'[1]TD-EPA'!$A$5:$H$36,6,0)</f>
        <v>11354369</v>
      </c>
      <c r="G23" s="25">
        <f t="shared" si="6"/>
        <v>5.5118296116504857E-3</v>
      </c>
      <c r="H23" s="23">
        <f>VLOOKUP(A23,'[1]TD-EPA'!$A$5:$H$36,4,0)</f>
        <v>103087565</v>
      </c>
      <c r="I23" s="23">
        <f>VLOOKUP(A23,'[1]TD-EPA'!$A$5:$H$36,7,0)</f>
        <v>11354369</v>
      </c>
      <c r="J23" s="23">
        <f t="shared" si="7"/>
        <v>1956912435</v>
      </c>
      <c r="K23" s="25">
        <f t="shared" si="8"/>
        <v>0.94995749271844665</v>
      </c>
      <c r="L23" s="23">
        <f t="shared" si="9"/>
        <v>1976342131</v>
      </c>
      <c r="M23" s="25">
        <f t="shared" si="12"/>
        <v>0.95938938398058249</v>
      </c>
      <c r="N23" s="23">
        <f t="shared" si="10"/>
        <v>2048645631</v>
      </c>
      <c r="O23" s="25">
        <f t="shared" si="11"/>
        <v>0.99448817038834947</v>
      </c>
    </row>
    <row r="24" spans="1:15" x14ac:dyDescent="0.25">
      <c r="A24" s="22" t="str">
        <f>+'[1]TD-EPA'!A20</f>
        <v>CONCILIACIONES</v>
      </c>
      <c r="B24" s="23">
        <f>VLOOKUP(A24,'[1]TD-EPA'!$A$5:$H$36,2,0)</f>
        <v>2060000000</v>
      </c>
      <c r="C24" s="24">
        <f>VLOOKUP(A24,'[1]TD-EPA'!$A$5:$H$36,3,0)</f>
        <v>2060000000</v>
      </c>
      <c r="D24" s="24">
        <f>VLOOKUP(A24,'[1]TD-EPA'!$A$5:$H$36,5,0)</f>
        <v>97566344</v>
      </c>
      <c r="E24" s="25">
        <f t="shared" si="5"/>
        <v>4.7362302912621362E-2</v>
      </c>
      <c r="F24" s="23">
        <f>VLOOKUP(A24,'[1]TD-EPA'!$A$5:$H$36,6,0)</f>
        <v>72754652</v>
      </c>
      <c r="G24" s="25">
        <f t="shared" si="6"/>
        <v>3.5317792233009709E-2</v>
      </c>
      <c r="H24" s="23">
        <f>VLOOKUP(A24,'[1]TD-EPA'!$A$5:$H$36,4,0)</f>
        <v>130978338</v>
      </c>
      <c r="I24" s="23">
        <f>VLOOKUP(A24,'[1]TD-EPA'!$A$5:$H$36,7,0)</f>
        <v>72754652</v>
      </c>
      <c r="J24" s="23">
        <f t="shared" si="7"/>
        <v>1929021662</v>
      </c>
      <c r="K24" s="25">
        <f t="shared" si="8"/>
        <v>0.93641828252427184</v>
      </c>
      <c r="L24" s="23">
        <f t="shared" si="9"/>
        <v>1962433656</v>
      </c>
      <c r="M24" s="25">
        <f t="shared" si="12"/>
        <v>0.95263769708737867</v>
      </c>
      <c r="N24" s="23">
        <f t="shared" si="10"/>
        <v>1987245348</v>
      </c>
      <c r="O24" s="25">
        <f t="shared" si="11"/>
        <v>0.96468220776699032</v>
      </c>
    </row>
    <row r="25" spans="1:15" ht="42.75" x14ac:dyDescent="0.25">
      <c r="A25" s="22" t="str">
        <f>+'[1]TD-EPA'!A21</f>
        <v>INCAPACIDADES Y LICENCIAS DE MATERNIDAD Y PATERNIDAD (NO DE PENSIONES)</v>
      </c>
      <c r="B25" s="23">
        <f>VLOOKUP(A25,'[1]TD-EPA'!$A$5:$H$36,2,0)</f>
        <v>128770000</v>
      </c>
      <c r="C25" s="24">
        <f>VLOOKUP(A25,'[1]TD-EPA'!$A$5:$H$36,3,0)</f>
        <v>128770000</v>
      </c>
      <c r="D25" s="24">
        <f>VLOOKUP(A25,'[1]TD-EPA'!$A$5:$H$36,5,0)</f>
        <v>0</v>
      </c>
      <c r="E25" s="25">
        <f t="shared" si="5"/>
        <v>0</v>
      </c>
      <c r="F25" s="23">
        <f>VLOOKUP(A25,'[1]TD-EPA'!$A$5:$H$36,6,0)</f>
        <v>0</v>
      </c>
      <c r="G25" s="25">
        <f t="shared" si="6"/>
        <v>0</v>
      </c>
      <c r="H25" s="23">
        <f>VLOOKUP(A25,'[1]TD-EPA'!$A$5:$H$36,4,0)</f>
        <v>128770000</v>
      </c>
      <c r="I25" s="23">
        <f>VLOOKUP(A25,'[1]TD-EPA'!$A$5:$H$36,7,0)</f>
        <v>0</v>
      </c>
      <c r="J25" s="23">
        <f t="shared" si="7"/>
        <v>0</v>
      </c>
      <c r="K25" s="25">
        <f t="shared" si="8"/>
        <v>0</v>
      </c>
      <c r="L25" s="23">
        <f t="shared" si="9"/>
        <v>128770000</v>
      </c>
      <c r="M25" s="25">
        <f t="shared" si="12"/>
        <v>1</v>
      </c>
      <c r="N25" s="23">
        <f t="shared" si="10"/>
        <v>128770000</v>
      </c>
      <c r="O25" s="25">
        <f t="shared" si="11"/>
        <v>1</v>
      </c>
    </row>
    <row r="26" spans="1:15" x14ac:dyDescent="0.25">
      <c r="A26" s="22" t="str">
        <f>+'[1]TD-EPA'!A23</f>
        <v>IMPUESTOS</v>
      </c>
      <c r="B26" s="23">
        <f>VLOOKUP(A26,'[1]TD-EPA'!$A$5:$H$36,2,0)</f>
        <v>51500000</v>
      </c>
      <c r="C26" s="24">
        <f>VLOOKUP(A26,'[1]TD-EPA'!$A$5:$H$36,3,0)</f>
        <v>51500000</v>
      </c>
      <c r="D26" s="24">
        <f>VLOOKUP(A26,'[1]TD-EPA'!$A$5:$H$36,5,0)</f>
        <v>0</v>
      </c>
      <c r="E26" s="25">
        <f t="shared" si="5"/>
        <v>0</v>
      </c>
      <c r="F26" s="23">
        <f>VLOOKUP(A26,'[1]TD-EPA'!$A$5:$H$36,6,0)</f>
        <v>0</v>
      </c>
      <c r="G26" s="25">
        <f t="shared" si="6"/>
        <v>0</v>
      </c>
      <c r="H26" s="23">
        <f>VLOOKUP(A26,'[1]TD-EPA'!$A$5:$H$36,4,0)</f>
        <v>0</v>
      </c>
      <c r="I26" s="23">
        <f>VLOOKUP(A26,'[1]TD-EPA'!$A$5:$H$36,7,0)</f>
        <v>0</v>
      </c>
      <c r="J26" s="23">
        <f t="shared" si="7"/>
        <v>51500000</v>
      </c>
      <c r="K26" s="25">
        <f t="shared" si="8"/>
        <v>1</v>
      </c>
      <c r="L26" s="23">
        <f t="shared" si="9"/>
        <v>51500000</v>
      </c>
      <c r="M26" s="25">
        <f t="shared" si="12"/>
        <v>1</v>
      </c>
      <c r="N26" s="23">
        <f t="shared" si="10"/>
        <v>51500000</v>
      </c>
      <c r="O26" s="25">
        <f t="shared" si="11"/>
        <v>1</v>
      </c>
    </row>
    <row r="27" spans="1:15" x14ac:dyDescent="0.25">
      <c r="A27" s="22" t="str">
        <f>+'[1]TD-EPA'!A24</f>
        <v>CUOTA DE FISCALIZACIÓN Y AUDITAJE</v>
      </c>
      <c r="B27" s="23">
        <f>VLOOKUP(A27,'[1]TD-EPA'!$A$5:$H$36,2,0)</f>
        <v>236758000</v>
      </c>
      <c r="C27" s="24">
        <f>VLOOKUP(A27,'[1]TD-EPA'!$A$5:$H$36,3,0)</f>
        <v>236758000</v>
      </c>
      <c r="D27" s="24">
        <f>VLOOKUP(A27,'[1]TD-EPA'!$A$5:$H$36,5,0)</f>
        <v>0</v>
      </c>
      <c r="E27" s="25">
        <f t="shared" si="5"/>
        <v>0</v>
      </c>
      <c r="F27" s="23">
        <f>VLOOKUP(A27,'[1]TD-EPA'!$A$5:$H$36,6,0)</f>
        <v>0</v>
      </c>
      <c r="G27" s="25">
        <f t="shared" si="6"/>
        <v>0</v>
      </c>
      <c r="H27" s="23">
        <f>VLOOKUP(A27,'[1]TD-EPA'!$A$5:$H$36,4,0)</f>
        <v>0</v>
      </c>
      <c r="I27" s="23">
        <f>VLOOKUP(A27,'[1]TD-EPA'!$A$5:$H$36,7,0)</f>
        <v>0</v>
      </c>
      <c r="J27" s="23">
        <f t="shared" si="7"/>
        <v>236758000</v>
      </c>
      <c r="K27" s="25">
        <f t="shared" si="8"/>
        <v>1</v>
      </c>
      <c r="L27" s="23">
        <f t="shared" si="9"/>
        <v>236758000</v>
      </c>
      <c r="M27" s="25">
        <f t="shared" si="12"/>
        <v>1</v>
      </c>
      <c r="N27" s="23">
        <f t="shared" si="10"/>
        <v>236758000</v>
      </c>
      <c r="O27" s="25">
        <f t="shared" si="11"/>
        <v>1</v>
      </c>
    </row>
    <row r="28" spans="1:15" s="18" customFormat="1" ht="15.75" customHeight="1" x14ac:dyDescent="0.25">
      <c r="A28" s="15" t="s">
        <v>22</v>
      </c>
      <c r="B28" s="16">
        <f>SUM(B29:B41)</f>
        <v>161536218750</v>
      </c>
      <c r="C28" s="16">
        <f>SUM(C29:C41)</f>
        <v>161536218750</v>
      </c>
      <c r="D28" s="16">
        <f>SUM(D29:D41)</f>
        <v>72407005995.399994</v>
      </c>
      <c r="E28" s="17">
        <f t="shared" si="5"/>
        <v>0.44824006997130478</v>
      </c>
      <c r="F28" s="16">
        <f>SUM(F29:F41)</f>
        <v>1088161812</v>
      </c>
      <c r="G28" s="17">
        <f>+F28/C28</f>
        <v>6.7363333153420118E-3</v>
      </c>
      <c r="H28" s="16">
        <f>SUM(H29:H41)</f>
        <v>96459453671.600006</v>
      </c>
      <c r="I28" s="16">
        <f>SUM(I29:I41)</f>
        <v>1088038057</v>
      </c>
      <c r="J28" s="16">
        <f>SUM(J29:J41)</f>
        <v>65076765078.399994</v>
      </c>
      <c r="K28" s="17">
        <f>+J28/C28</f>
        <v>0.40286175807492086</v>
      </c>
      <c r="L28" s="16">
        <f>SUM(L29:L41)</f>
        <v>89129212754.599991</v>
      </c>
      <c r="M28" s="17">
        <f>+L28/C28</f>
        <v>0.55175993002869517</v>
      </c>
      <c r="N28" s="16">
        <f>SUM(N29:N41)</f>
        <v>160448056938</v>
      </c>
      <c r="O28" s="17">
        <f t="shared" si="11"/>
        <v>0.99326366668465804</v>
      </c>
    </row>
    <row r="29" spans="1:15" ht="57" x14ac:dyDescent="0.25">
      <c r="A29" s="22" t="str">
        <f>+'[1]TD-EPA'!A27</f>
        <v>INCREMENTO DE LA COBERTURA DE LOS SERVICIOS DE LA RED NACIONAL DE PROTECCIÓN AL CONSUMIDOR EN EL TERRITORIO  NACIONAL</v>
      </c>
      <c r="B29" s="23">
        <f>VLOOKUP(A29,'[1]TD-EPA'!$A$5:$H$38,2,0)</f>
        <v>39427254112</v>
      </c>
      <c r="C29" s="24">
        <f>VLOOKUP(A29,'[1]TD-EPA'!$A$5:$H$38,3,0)</f>
        <v>39427254112</v>
      </c>
      <c r="D29" s="24">
        <f>VLOOKUP(A29,'[1]TD-EPA'!$A$5:$H$38,5,0)</f>
        <v>17123780216</v>
      </c>
      <c r="E29" s="25">
        <f t="shared" si="5"/>
        <v>0.43431328408914588</v>
      </c>
      <c r="F29" s="23">
        <f>VLOOKUP(A29,'[1]TD-EPA'!$A$5:$H$38,6,0)</f>
        <v>122617878</v>
      </c>
      <c r="G29" s="25">
        <f t="shared" si="6"/>
        <v>3.1099776223746777E-3</v>
      </c>
      <c r="H29" s="23">
        <f>VLOOKUP(A29,'[1]TD-EPA'!$A$5:$H$38,4,0)</f>
        <v>22265878583</v>
      </c>
      <c r="I29" s="23">
        <f>VLOOKUP(A29,'[1]TD-EPA'!$A$5:$H$36,7,0)</f>
        <v>122617878</v>
      </c>
      <c r="J29" s="23">
        <f t="shared" si="7"/>
        <v>17161375529</v>
      </c>
      <c r="K29" s="25">
        <f t="shared" si="8"/>
        <v>0.43526682026220026</v>
      </c>
      <c r="L29" s="23">
        <f t="shared" si="9"/>
        <v>22303473896</v>
      </c>
      <c r="M29" s="25">
        <f t="shared" si="12"/>
        <v>0.56568671591085418</v>
      </c>
      <c r="N29" s="23">
        <f t="shared" si="10"/>
        <v>39304636234</v>
      </c>
      <c r="O29" s="25">
        <f t="shared" si="11"/>
        <v>0.99689002237762536</v>
      </c>
    </row>
    <row r="30" spans="1:15" ht="57" x14ac:dyDescent="0.25">
      <c r="A30" s="22" t="str">
        <f>+'[1]TD-EPA'!A28</f>
        <v>MEJORAMIENTO DEL CONTROL Y VIGILANCIA A LAS CÁMARAS DE COMERCIO Y COMERCIANTES A NIVEL  NACIONAL</v>
      </c>
      <c r="B30" s="23">
        <f>VLOOKUP(A30,'[1]TD-EPA'!$A$5:$H$38,2,0)</f>
        <v>909785125</v>
      </c>
      <c r="C30" s="24">
        <f>VLOOKUP(A30,'[1]TD-EPA'!$A$5:$H$38,3,0)</f>
        <v>909785125</v>
      </c>
      <c r="D30" s="24">
        <f>VLOOKUP(A30,'[1]TD-EPA'!$A$5:$H$38,5,0)</f>
        <v>720162996</v>
      </c>
      <c r="E30" s="25">
        <f t="shared" si="5"/>
        <v>0.79157481938386276</v>
      </c>
      <c r="F30" s="23">
        <f>VLOOKUP(A30,'[1]TD-EPA'!$A$5:$H$38,6,0)</f>
        <v>33045000</v>
      </c>
      <c r="G30" s="25">
        <f t="shared" si="6"/>
        <v>3.6321763339447873E-2</v>
      </c>
      <c r="H30" s="23">
        <f>VLOOKUP(A30,'[1]TD-EPA'!$A$5:$H$38,4,0)</f>
        <v>882233511</v>
      </c>
      <c r="I30" s="23">
        <f>VLOOKUP(A30,'[1]TD-EPA'!$A$5:$H$36,7,0)</f>
        <v>33045000</v>
      </c>
      <c r="J30" s="23">
        <f t="shared" si="7"/>
        <v>27551614</v>
      </c>
      <c r="K30" s="25">
        <f t="shared" si="8"/>
        <v>3.0283649669475526E-2</v>
      </c>
      <c r="L30" s="23">
        <f t="shared" si="9"/>
        <v>189622129</v>
      </c>
      <c r="M30" s="25">
        <f t="shared" si="12"/>
        <v>0.20842518061613724</v>
      </c>
      <c r="N30" s="23">
        <f t="shared" si="10"/>
        <v>876740125</v>
      </c>
      <c r="O30" s="25">
        <f t="shared" si="11"/>
        <v>0.96367823666055208</v>
      </c>
    </row>
    <row r="31" spans="1:15" ht="57" x14ac:dyDescent="0.25">
      <c r="A31" s="22" t="str">
        <f>+'[1]TD-EPA'!A29</f>
        <v>FORTALECIMIENTO DE LA FUNCIÓN JURISDICCIONAL DE LA SUPERINTENDENCIA DE INDUSTRIA Y COMERCIO A NIVEL  NACIONAL</v>
      </c>
      <c r="B31" s="23">
        <f>VLOOKUP(A31,'[1]TD-EPA'!$A$5:$H$38,2,0)</f>
        <v>3601793401</v>
      </c>
      <c r="C31" s="24">
        <f>VLOOKUP(A31,'[1]TD-EPA'!$A$5:$H$38,3,0)</f>
        <v>3601793401</v>
      </c>
      <c r="D31" s="24">
        <f>VLOOKUP(A31,'[1]TD-EPA'!$A$5:$H$38,5,0)</f>
        <v>2059938449</v>
      </c>
      <c r="E31" s="25">
        <f t="shared" si="5"/>
        <v>0.57192021297725737</v>
      </c>
      <c r="F31" s="23">
        <f>VLOOKUP(A31,'[1]TD-EPA'!$A$5:$H$38,6,0)</f>
        <v>204451929</v>
      </c>
      <c r="G31" s="25">
        <f t="shared" si="6"/>
        <v>5.6763924589132757E-2</v>
      </c>
      <c r="H31" s="23">
        <f>VLOOKUP(A31,'[1]TD-EPA'!$A$5:$H$38,4,0)</f>
        <v>3420278063</v>
      </c>
      <c r="I31" s="23">
        <f>VLOOKUP(A31,'[1]TD-EPA'!$A$5:$H$36,7,0)</f>
        <v>204451929</v>
      </c>
      <c r="J31" s="23">
        <f t="shared" si="7"/>
        <v>181515338</v>
      </c>
      <c r="K31" s="25">
        <f t="shared" si="8"/>
        <v>5.039582168971829E-2</v>
      </c>
      <c r="L31" s="23">
        <f t="shared" si="9"/>
        <v>1541854952</v>
      </c>
      <c r="M31" s="25">
        <f t="shared" si="12"/>
        <v>0.42807978702274269</v>
      </c>
      <c r="N31" s="23">
        <f t="shared" si="10"/>
        <v>3397341472</v>
      </c>
      <c r="O31" s="25">
        <f t="shared" si="11"/>
        <v>0.94323607541086729</v>
      </c>
    </row>
    <row r="32" spans="1:15" ht="42.75" x14ac:dyDescent="0.25">
      <c r="A32" s="22" t="str">
        <f>+'[1]TD-EPA'!A30</f>
        <v>FORTALECIMIENTO DE LA PROTECCIÓN DE DATOS PERSONALES A NIVEL  NACIONAL</v>
      </c>
      <c r="B32" s="23">
        <f>VLOOKUP(A32,'[1]TD-EPA'!$A$5:$H$38,2,0)</f>
        <v>2591894878</v>
      </c>
      <c r="C32" s="24">
        <f>VLOOKUP(A32,'[1]TD-EPA'!$A$5:$H$38,3,0)</f>
        <v>2591894878</v>
      </c>
      <c r="D32" s="24">
        <f>VLOOKUP(A32,'[1]TD-EPA'!$A$5:$H$38,5,0)</f>
        <v>2108821807</v>
      </c>
      <c r="E32" s="25">
        <f t="shared" si="5"/>
        <v>0.81362165761415572</v>
      </c>
      <c r="F32" s="23">
        <f>VLOOKUP(A32,'[1]TD-EPA'!$A$5:$H$38,6,0)</f>
        <v>50853330</v>
      </c>
      <c r="G32" s="25">
        <f t="shared" si="6"/>
        <v>1.9620135998432264E-2</v>
      </c>
      <c r="H32" s="23">
        <f>VLOOKUP(A32,'[1]TD-EPA'!$A$5:$H$38,4,0)</f>
        <v>2516022720</v>
      </c>
      <c r="I32" s="23">
        <f>VLOOKUP(A32,'[1]TD-EPA'!$A$5:$H$38,7,0)</f>
        <v>50853330</v>
      </c>
      <c r="J32" s="23">
        <f t="shared" si="7"/>
        <v>75872158</v>
      </c>
      <c r="K32" s="25">
        <f t="shared" si="8"/>
        <v>2.927285309446875E-2</v>
      </c>
      <c r="L32" s="23">
        <f t="shared" si="9"/>
        <v>483073071</v>
      </c>
      <c r="M32" s="25">
        <f t="shared" si="12"/>
        <v>0.18637834238584425</v>
      </c>
      <c r="N32" s="23">
        <f t="shared" si="10"/>
        <v>2541041548</v>
      </c>
      <c r="O32" s="25">
        <f t="shared" si="11"/>
        <v>0.98037986400156774</v>
      </c>
    </row>
    <row r="33" spans="1:15" ht="57" x14ac:dyDescent="0.25">
      <c r="A33" s="22" t="str">
        <f>+'[1]TD-EPA'!A31</f>
        <v>FORTALECIMIENTO DEL RÉGIMEN DE PROTECCIÓN DE LA LIBRE COMPETENCIA ECONÓMICA EN LOS MERCADOS A NIVEL  NACIONAL</v>
      </c>
      <c r="B33" s="23">
        <f>VLOOKUP(A33,'[1]TD-EPA'!$A$5:$H$38,2,0)</f>
        <v>8032499000</v>
      </c>
      <c r="C33" s="24">
        <f>VLOOKUP(A33,'[1]TD-EPA'!$A$5:$H$38,3,0)</f>
        <v>8032499000</v>
      </c>
      <c r="D33" s="24">
        <f>VLOOKUP(A33,'[1]TD-EPA'!$A$5:$H$38,5,0)</f>
        <v>6299504996</v>
      </c>
      <c r="E33" s="25">
        <f t="shared" si="5"/>
        <v>0.78425219797724222</v>
      </c>
      <c r="F33" s="23">
        <f>VLOOKUP(A33,'[1]TD-EPA'!$A$5:$H$38,6,0)</f>
        <v>248572717</v>
      </c>
      <c r="G33" s="25">
        <f t="shared" si="6"/>
        <v>3.0945875872502443E-2</v>
      </c>
      <c r="H33" s="23">
        <f>VLOOKUP(A33,'[1]TD-EPA'!$A$5:$H$38,4,0)</f>
        <v>6729404429</v>
      </c>
      <c r="I33" s="23">
        <f>VLOOKUP(A33,'[1]TD-EPA'!$A$5:$H$36,7,0)</f>
        <v>248572717</v>
      </c>
      <c r="J33" s="23">
        <f t="shared" si="7"/>
        <v>1303094571</v>
      </c>
      <c r="K33" s="25">
        <f t="shared" si="8"/>
        <v>0.16222779125151462</v>
      </c>
      <c r="L33" s="23">
        <f t="shared" si="9"/>
        <v>1732994004</v>
      </c>
      <c r="M33" s="25">
        <f t="shared" si="12"/>
        <v>0.21574780202275781</v>
      </c>
      <c r="N33" s="23">
        <f t="shared" si="10"/>
        <v>7783926283</v>
      </c>
      <c r="O33" s="25">
        <f t="shared" si="11"/>
        <v>0.96905412412749758</v>
      </c>
    </row>
    <row r="34" spans="1:15" ht="71.25" x14ac:dyDescent="0.25">
      <c r="A34" s="22" t="str">
        <f>+'[1]TD-EPA'!A32</f>
        <v>FORTALECIMIENTO DE LA ATENCIÓN Y PROMOCIÓN DE TRÁMITES Y SERVICIOS EN EL MARCO DEL SISTEMA DE PROPIEDAD INDUSTRIAL A NIVEL  NACIONAL</v>
      </c>
      <c r="B34" s="23">
        <f>VLOOKUP(A34,'[1]TD-EPA'!$A$5:$H$38,2,0)</f>
        <v>8791562000</v>
      </c>
      <c r="C34" s="24">
        <f>VLOOKUP(A34,'[1]TD-EPA'!$A$5:$H$38,3,0)</f>
        <v>8791562000</v>
      </c>
      <c r="D34" s="24">
        <f>VLOOKUP(A34,'[1]TD-EPA'!$A$5:$H$38,5,0)</f>
        <v>5799848422</v>
      </c>
      <c r="E34" s="25">
        <f t="shared" si="5"/>
        <v>0.65970625265453398</v>
      </c>
      <c r="F34" s="23">
        <f>VLOOKUP(A34,'[1]TD-EPA'!$A$5:$H$38,6,0)</f>
        <v>18890598</v>
      </c>
      <c r="G34" s="25">
        <f t="shared" si="6"/>
        <v>2.1487191923346498E-3</v>
      </c>
      <c r="H34" s="23">
        <f>VLOOKUP(A34,'[1]TD-EPA'!$A$5:$H$38,4,0)</f>
        <v>7333423470</v>
      </c>
      <c r="I34" s="23">
        <f>VLOOKUP(A34,'[1]TD-EPA'!$A$5:$H$36,7,0)</f>
        <v>18890598</v>
      </c>
      <c r="J34" s="23">
        <f t="shared" si="7"/>
        <v>1458138530</v>
      </c>
      <c r="K34" s="25">
        <f t="shared" si="8"/>
        <v>0.16585659408419118</v>
      </c>
      <c r="L34" s="23">
        <f t="shared" si="9"/>
        <v>2991713578</v>
      </c>
      <c r="M34" s="25">
        <f t="shared" si="12"/>
        <v>0.34029374734546602</v>
      </c>
      <c r="N34" s="23">
        <f t="shared" si="10"/>
        <v>8772671402</v>
      </c>
      <c r="O34" s="25">
        <f t="shared" si="11"/>
        <v>0.99785128080766539</v>
      </c>
    </row>
    <row r="35" spans="1:15" ht="57" x14ac:dyDescent="0.25">
      <c r="A35" s="22" t="str">
        <f>+'[1]TD-EPA'!A33</f>
        <v>MEJORAMIENTO EN LA EJECUCIÓN DE LAS FUNCIONES ASIGNADAS EN MATERIA DE PROTECCIÓN AL CONSUMIDOR A NIVEL  NACIONAL</v>
      </c>
      <c r="B35" s="23">
        <f>VLOOKUP(A35,'[1]TD-EPA'!$A$5:$H$38,2,0)</f>
        <v>5305076993</v>
      </c>
      <c r="C35" s="24">
        <f>VLOOKUP(A35,'[1]TD-EPA'!$A$5:$H$38,3,0)</f>
        <v>5305076993</v>
      </c>
      <c r="D35" s="24">
        <f>VLOOKUP(A35,'[1]TD-EPA'!$A$5:$H$38,5,0)</f>
        <v>3860273147</v>
      </c>
      <c r="E35" s="25">
        <f t="shared" si="5"/>
        <v>0.72765638502392982</v>
      </c>
      <c r="F35" s="23">
        <f>VLOOKUP(A35,'[1]TD-EPA'!$A$5:$H$38,6,0)</f>
        <v>95837193</v>
      </c>
      <c r="G35" s="25">
        <f t="shared" si="6"/>
        <v>1.8065184186102538E-2</v>
      </c>
      <c r="H35" s="23">
        <f>VLOOKUP(A35,'[1]TD-EPA'!$A$5:$H$38,4,0)</f>
        <v>4602409286</v>
      </c>
      <c r="I35" s="23">
        <f>VLOOKUP(A35,'[1]TD-EPA'!$A$5:$H$36,7,0)</f>
        <v>95837193</v>
      </c>
      <c r="J35" s="23">
        <f t="shared" si="7"/>
        <v>702667707</v>
      </c>
      <c r="K35" s="25">
        <f t="shared" si="8"/>
        <v>0.13245193386018025</v>
      </c>
      <c r="L35" s="23">
        <f t="shared" si="9"/>
        <v>1444803846</v>
      </c>
      <c r="M35" s="25">
        <f t="shared" si="12"/>
        <v>0.27234361497607013</v>
      </c>
      <c r="N35" s="23">
        <f t="shared" si="10"/>
        <v>5209239800</v>
      </c>
      <c r="O35" s="25">
        <f t="shared" si="11"/>
        <v>0.98193481581389741</v>
      </c>
    </row>
    <row r="36" spans="1:15" ht="99.75" x14ac:dyDescent="0.25">
      <c r="A36" s="22" t="str">
        <f>+'[1]TD-EPA'!A34</f>
        <v>FORTALECIMIENTO DE LA FUNCIÓN DE INSPECCIÓN, CONTROL Y VIGILANCIA DE LA SUPERINTENDENCIA DE INDUSTRIA Y COMERCIO EN EL MARCO DEL SUBSISTEMA NACIONAL DE CALIDAD, EL RÉGIMEN DE CONTROL DE PRECIOS Y EL SECTOR VALUATORIO A NIVEL  NACIONAL</v>
      </c>
      <c r="B36" s="23">
        <f>VLOOKUP(A36,'[1]TD-EPA'!$A$5:$H$38,2,0)</f>
        <v>4769339865</v>
      </c>
      <c r="C36" s="24">
        <f>VLOOKUP(A36,'[1]TD-EPA'!$A$5:$H$38,3,0)</f>
        <v>4769339865</v>
      </c>
      <c r="D36" s="24">
        <f>VLOOKUP(A36,'[1]TD-EPA'!$A$5:$H$38,5,0)</f>
        <v>3927793880</v>
      </c>
      <c r="E36" s="25">
        <f t="shared" si="5"/>
        <v>0.82355084585694549</v>
      </c>
      <c r="F36" s="23">
        <f>VLOOKUP(A36,'[1]TD-EPA'!$A$5:$H$38,6,0)</f>
        <v>160564996</v>
      </c>
      <c r="G36" s="25">
        <f t="shared" si="6"/>
        <v>3.3666083891046E-2</v>
      </c>
      <c r="H36" s="23">
        <f>VLOOKUP(A36,'[1]TD-EPA'!$A$5:$H$38,4,0)</f>
        <v>4552290506</v>
      </c>
      <c r="I36" s="23">
        <f>VLOOKUP(A36,'[1]TD-EPA'!$A$5:$H$36,7,0)</f>
        <v>160564996</v>
      </c>
      <c r="J36" s="23">
        <f t="shared" si="7"/>
        <v>217049359</v>
      </c>
      <c r="K36" s="25">
        <f t="shared" si="8"/>
        <v>4.550930844598134E-2</v>
      </c>
      <c r="L36" s="23">
        <f t="shared" si="9"/>
        <v>841545985</v>
      </c>
      <c r="M36" s="25">
        <f t="shared" si="12"/>
        <v>0.17644915414305457</v>
      </c>
      <c r="N36" s="23">
        <f t="shared" si="10"/>
        <v>4608774869</v>
      </c>
      <c r="O36" s="25">
        <f t="shared" si="11"/>
        <v>0.96633391610895403</v>
      </c>
    </row>
    <row r="37" spans="1:15" ht="57" x14ac:dyDescent="0.25">
      <c r="A37" s="22" t="str">
        <f>+'[1]TD-EPA'!A36</f>
        <v>IMPLEMENTACIÓN DE UNA SOLUCIÓN INMOBILIARIA PARA LA SUPERINTENDENCIA DE INDUSTRIA Y COMERCIO EN  BOGOTÁ</v>
      </c>
      <c r="B37" s="23">
        <f>VLOOKUP(A37,'[1]TD-EPA'!$A$5:$H$38,2,0)</f>
        <v>30262520191</v>
      </c>
      <c r="C37" s="24">
        <f>VLOOKUP(A37,'[1]TD-EPA'!$A$5:$H$38,3,0)</f>
        <v>30262520191</v>
      </c>
      <c r="D37" s="24">
        <f>VLOOKUP(A37,'[1]TD-EPA'!$A$5:$H$38,5,0)</f>
        <v>0</v>
      </c>
      <c r="E37" s="25">
        <f t="shared" si="5"/>
        <v>0</v>
      </c>
      <c r="F37" s="23">
        <f>VLOOKUP(A37,'[1]TD-EPA'!$A$5:$H$38,6,0)</f>
        <v>0</v>
      </c>
      <c r="G37" s="25">
        <f t="shared" si="6"/>
        <v>0</v>
      </c>
      <c r="H37" s="23">
        <f>VLOOKUP(A37,'[1]TD-EPA'!$A$5:$H$38,4,0)</f>
        <v>0</v>
      </c>
      <c r="I37" s="23">
        <f>VLOOKUP(A37,'[1]TD-EPA'!$A$5:$H$36,7,0)</f>
        <v>0</v>
      </c>
      <c r="J37" s="23">
        <f t="shared" si="7"/>
        <v>30262520191</v>
      </c>
      <c r="K37" s="25">
        <f t="shared" si="8"/>
        <v>1</v>
      </c>
      <c r="L37" s="23">
        <f t="shared" si="9"/>
        <v>30262520191</v>
      </c>
      <c r="M37" s="25">
        <f t="shared" si="12"/>
        <v>1</v>
      </c>
      <c r="N37" s="23">
        <f t="shared" si="10"/>
        <v>30262520191</v>
      </c>
      <c r="O37" s="25">
        <f t="shared" si="11"/>
        <v>1</v>
      </c>
    </row>
    <row r="38" spans="1:15" ht="57" x14ac:dyDescent="0.25">
      <c r="A38" s="22" t="str">
        <f>+'[1]TD-EPA'!A37</f>
        <v>FORTALECIMIENTO DEL SISTEMA DE ATENCIÓN AL CIUDADANO DE LA SUPERINTENDENCIA DE INDUSTRIA Y COMERCIO A NIVEL  NACIONAL</v>
      </c>
      <c r="B38" s="23">
        <f>VLOOKUP(A38,'[1]TD-EPA'!$A$5:$H$38,2,0)</f>
        <v>28050706799</v>
      </c>
      <c r="C38" s="24">
        <f>VLOOKUP(A38,'[1]TD-EPA'!$A$5:$H$38,3,0)</f>
        <v>28050706799</v>
      </c>
      <c r="D38" s="24">
        <f>VLOOKUP(A38,'[1]TD-EPA'!$A$5:$H$38,5,0)</f>
        <v>20738665567.599998</v>
      </c>
      <c r="E38" s="25">
        <f t="shared" si="5"/>
        <v>0.7393277365951908</v>
      </c>
      <c r="F38" s="23">
        <f>VLOOKUP(A38,'[1]TD-EPA'!$A$5:$H$38,6,0)</f>
        <v>66935581</v>
      </c>
      <c r="G38" s="25">
        <f t="shared" si="6"/>
        <v>2.386235094881325E-3</v>
      </c>
      <c r="H38" s="23">
        <f>VLOOKUP(A38,'[1]TD-EPA'!$A$5:$H$38,4,0)</f>
        <v>24342870099.799999</v>
      </c>
      <c r="I38" s="23">
        <f>VLOOKUP(A38,'[1]TD-EPA'!$A$5:$H$40,7,0)</f>
        <v>66811826</v>
      </c>
      <c r="J38" s="23">
        <f t="shared" si="7"/>
        <v>3707836699.2000008</v>
      </c>
      <c r="K38" s="25">
        <f t="shared" si="8"/>
        <v>0.13218336086034682</v>
      </c>
      <c r="L38" s="23">
        <f t="shared" si="9"/>
        <v>7312041231.4000015</v>
      </c>
      <c r="M38" s="25">
        <f t="shared" si="12"/>
        <v>0.26067226340480926</v>
      </c>
      <c r="N38" s="23">
        <f t="shared" si="10"/>
        <v>27983771218</v>
      </c>
      <c r="O38" s="25">
        <f t="shared" si="11"/>
        <v>0.99761376490511866</v>
      </c>
    </row>
    <row r="39" spans="1:15" ht="71.25" x14ac:dyDescent="0.25">
      <c r="A39" s="22" t="str">
        <f>+'[1]TD-EPA'!A38</f>
        <v>MEJORAMIENTO DE LOS SISTEMAS DE INFORMACIÓN Y SERVICIOS TECNOLÓGICOS DE LA SUPERINTENDENCIA DE INDUSTRIA Y COMERCIO EN EL TERRITORIO  NACIONAL</v>
      </c>
      <c r="B39" s="23">
        <f>VLOOKUP(A39,'[1]TD-EPA'!$A$5:$H$38,2,0)</f>
        <v>25661863246</v>
      </c>
      <c r="C39" s="24">
        <f>VLOOKUP(A39,'[1]TD-EPA'!$A$5:$H$38,3,0)</f>
        <v>25661863246</v>
      </c>
      <c r="D39" s="24">
        <f>VLOOKUP(A39,'[1]TD-EPA'!$A$5:$H$38,5,0)</f>
        <v>7490165177.8000002</v>
      </c>
      <c r="E39" s="25">
        <f t="shared" si="5"/>
        <v>0.29187924142521166</v>
      </c>
      <c r="F39" s="23">
        <f>VLOOKUP(A39,'[1]TD-EPA'!$A$5:$H$38,6,0)</f>
        <v>46379074</v>
      </c>
      <c r="G39" s="25">
        <f t="shared" si="6"/>
        <v>1.8073151413597866E-3</v>
      </c>
      <c r="H39" s="23">
        <f>VLOOKUP(A39,'[1]TD-EPA'!$A$5:$H$38,4,0)</f>
        <v>16707539346.799999</v>
      </c>
      <c r="I39" s="23">
        <f>VLOOKUP(A39,'[1]TD-EPA'!$A$5:$H$38,7,0)</f>
        <v>46379074</v>
      </c>
      <c r="J39" s="23">
        <f t="shared" si="7"/>
        <v>8954323899.2000008</v>
      </c>
      <c r="K39" s="25">
        <f t="shared" si="8"/>
        <v>0.34893506419865056</v>
      </c>
      <c r="L39" s="23">
        <f t="shared" si="9"/>
        <v>18171698068.200001</v>
      </c>
      <c r="M39" s="25">
        <f t="shared" si="12"/>
        <v>0.7081207585747884</v>
      </c>
      <c r="N39" s="23">
        <f t="shared" si="10"/>
        <v>25615484172</v>
      </c>
      <c r="O39" s="25">
        <f t="shared" si="11"/>
        <v>0.99819268485864021</v>
      </c>
    </row>
    <row r="40" spans="1:15" ht="57" x14ac:dyDescent="0.25">
      <c r="A40" s="22" t="str">
        <f>+'[1]TD-EPA'!A39</f>
        <v>MEJORAMIENTO DE LA INFRAESTRUCTURA FÍSICA DE LA SEDE DE LA SUPERINTENDENCIA DE INDUSTRIA Y COMERCIO EN  BOGOTÁ</v>
      </c>
      <c r="B40" s="23">
        <f>VLOOKUP(A40,'[1]TD-EPA'!$A$5:$H$40,2,0)</f>
        <v>773529015</v>
      </c>
      <c r="C40" s="24">
        <f>VLOOKUP(A40,'[1]TD-EPA'!$A$5:$H$40,3,0)</f>
        <v>773529015</v>
      </c>
      <c r="D40" s="24">
        <f>VLOOKUP(A40,'[1]TD-EPA'!$A$5:$H$40,5,0)</f>
        <v>36811</v>
      </c>
      <c r="E40" s="25">
        <f t="shared" si="5"/>
        <v>4.758838942841724E-5</v>
      </c>
      <c r="F40" s="23">
        <f>VLOOKUP(A40,'[1]TD-EPA'!$A$5:$H$40,6,0)</f>
        <v>0</v>
      </c>
      <c r="G40" s="25">
        <f t="shared" si="6"/>
        <v>0</v>
      </c>
      <c r="H40" s="23">
        <f>VLOOKUP(A40,'[1]TD-EPA'!$A$5:$H$40,4,0)</f>
        <v>589512464</v>
      </c>
      <c r="I40" s="23">
        <f>VLOOKUP(A40,'[1]TD-EPA'!$A$5:$H$40,7,0)</f>
        <v>0</v>
      </c>
      <c r="J40" s="23">
        <f t="shared" si="7"/>
        <v>184016551</v>
      </c>
      <c r="K40" s="25">
        <f t="shared" si="8"/>
        <v>0.23789224118503169</v>
      </c>
      <c r="L40" s="23">
        <f t="shared" si="9"/>
        <v>773492204</v>
      </c>
      <c r="M40" s="25">
        <f t="shared" si="12"/>
        <v>0.99995241161057158</v>
      </c>
      <c r="N40" s="23">
        <f t="shared" si="10"/>
        <v>773529015</v>
      </c>
      <c r="O40" s="25">
        <f t="shared" si="11"/>
        <v>1</v>
      </c>
    </row>
    <row r="41" spans="1:15" ht="57" x14ac:dyDescent="0.25">
      <c r="A41" s="22" t="str">
        <f>+'[1]TD-EPA'!A40</f>
        <v>MEJORAMIENTO EN LA CALIDAD DE LA GESTIÓN ESTRATÉGICA DE LA SUPERINTENDENCIA DE INDUSTRIA Y COMERCIO A NIVEL  NACIONAL</v>
      </c>
      <c r="B41" s="23">
        <f>VLOOKUP(A41,'[1]TD-EPA'!$A$5:$H$40,2,0)</f>
        <v>3358394125</v>
      </c>
      <c r="C41" s="24">
        <f>VLOOKUP(A41,'[1]TD-EPA'!$A$5:$H$40,3,0)</f>
        <v>3358394125</v>
      </c>
      <c r="D41" s="24">
        <f>VLOOKUP(A41,'[1]TD-EPA'!$A$5:$H$40,5,0)</f>
        <v>2278014526</v>
      </c>
      <c r="E41" s="25">
        <f t="shared" si="5"/>
        <v>0.67830470195334802</v>
      </c>
      <c r="F41" s="23">
        <f>VLOOKUP(A41,'[1]TD-EPA'!$A$5:$H$40,6,0)</f>
        <v>40013516</v>
      </c>
      <c r="G41" s="25">
        <f t="shared" si="6"/>
        <v>1.1914478917807182E-2</v>
      </c>
      <c r="H41" s="23">
        <f>VLOOKUP(A41,'[1]TD-EPA'!$A$5:$H$40,4,0)</f>
        <v>2517591193</v>
      </c>
      <c r="I41" s="23">
        <f>VLOOKUP(A41,'[1]TD-EPA'!$A$5:$H$40,7,0)</f>
        <v>40013516</v>
      </c>
      <c r="J41" s="23">
        <f t="shared" si="7"/>
        <v>840802932</v>
      </c>
      <c r="K41" s="25">
        <f t="shared" si="8"/>
        <v>0.25035862400456049</v>
      </c>
      <c r="L41" s="23">
        <f t="shared" si="9"/>
        <v>1080379599</v>
      </c>
      <c r="M41" s="25">
        <f t="shared" si="12"/>
        <v>0.32169529804665198</v>
      </c>
      <c r="N41" s="23">
        <f t="shared" si="10"/>
        <v>3318380609</v>
      </c>
      <c r="O41" s="25">
        <f t="shared" si="11"/>
        <v>0.98808552108219283</v>
      </c>
    </row>
    <row r="42" spans="1:15" s="18" customFormat="1" ht="15.75" x14ac:dyDescent="0.25">
      <c r="A42" s="26" t="s">
        <v>23</v>
      </c>
      <c r="B42" s="27">
        <f>B8+B28</f>
        <v>240291898618</v>
      </c>
      <c r="C42" s="27">
        <f>C8+C28</f>
        <v>240291898618</v>
      </c>
      <c r="D42" s="27">
        <f>D8+D28</f>
        <v>88515339761.039993</v>
      </c>
      <c r="E42" s="17">
        <f t="shared" si="5"/>
        <v>0.36836589277508586</v>
      </c>
      <c r="F42" s="27">
        <f>F8+F28</f>
        <v>10041807849.959999</v>
      </c>
      <c r="G42" s="17">
        <f t="shared" si="6"/>
        <v>4.1790039147028397E-2</v>
      </c>
      <c r="H42" s="27">
        <f>H8+H28</f>
        <v>165321293738.60001</v>
      </c>
      <c r="I42" s="27">
        <f>I8+I28</f>
        <v>10041684094.959999</v>
      </c>
      <c r="J42" s="27">
        <f>J8+J28</f>
        <v>74970604879.399994</v>
      </c>
      <c r="K42" s="17">
        <f t="shared" si="8"/>
        <v>0.31199805449364421</v>
      </c>
      <c r="L42" s="27">
        <f>L8+L28</f>
        <v>151776558856.95999</v>
      </c>
      <c r="M42" s="17">
        <f t="shared" si="12"/>
        <v>0.63163410722491409</v>
      </c>
      <c r="N42" s="27">
        <f>N8+N28</f>
        <v>230250090768.03998</v>
      </c>
      <c r="O42" s="17">
        <f t="shared" si="11"/>
        <v>0.9582099608529715</v>
      </c>
    </row>
    <row r="43" spans="1:15" s="28" customFormat="1" x14ac:dyDescent="0.25">
      <c r="B43" s="29">
        <f>B42-[2]REP_EPG034_EjecucionPresupuesta!P32</f>
        <v>99797015618</v>
      </c>
      <c r="C43" s="30">
        <f>C42-[2]REP_EPG034_EjecucionPresupuesta!S32</f>
        <v>99797015618</v>
      </c>
      <c r="D43" s="30">
        <f>D42-[2]REP_EPG034_EjecucionPresupuesta!W32</f>
        <v>35831624566.48999</v>
      </c>
      <c r="E43" s="31">
        <f>D42/C42</f>
        <v>0.36836589277508586</v>
      </c>
      <c r="F43" s="29">
        <f>F42-[2]REP_EPG034_EjecucionPresupuesta!X32</f>
        <v>5120557610.7599993</v>
      </c>
      <c r="G43" s="31">
        <f>F42/C42</f>
        <v>4.1790039147028397E-2</v>
      </c>
      <c r="H43" s="29">
        <f>H42-[2]REP_EPG034_EjecucionPresupuesta!U32</f>
        <v>56309740304.520004</v>
      </c>
      <c r="I43" s="29">
        <f>I42-[2]REP_EPG034_EjecucionPresupuesta!Z32</f>
        <v>5769311053.499999</v>
      </c>
      <c r="J43" s="29">
        <f>C42-(H42+J42)</f>
        <v>0</v>
      </c>
      <c r="K43" s="31">
        <f>J42/C42</f>
        <v>0.31199805449364421</v>
      </c>
      <c r="L43" s="29">
        <f>C42-(D42+L42)</f>
        <v>0</v>
      </c>
      <c r="M43" s="31">
        <f>L42/C42</f>
        <v>0.63163410722491409</v>
      </c>
      <c r="N43" s="29">
        <f>C42-(F42+N42)</f>
        <v>0</v>
      </c>
      <c r="O43" s="31">
        <f>N42/C42</f>
        <v>0.9582099608529715</v>
      </c>
    </row>
    <row r="44" spans="1:15" x14ac:dyDescent="0.25">
      <c r="C44" s="32"/>
      <c r="F44" s="33"/>
    </row>
    <row r="46" spans="1:15" x14ac:dyDescent="0.25">
      <c r="C46" s="3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2"/>
  <sheetViews>
    <sheetView topLeftCell="A4" zoomScale="120" zoomScaleNormal="120" workbookViewId="0">
      <selection activeCell="C22" sqref="C22"/>
    </sheetView>
  </sheetViews>
  <sheetFormatPr baseColWidth="10" defaultRowHeight="15" x14ac:dyDescent="0.25"/>
  <cols>
    <col min="1" max="1" width="11.42578125" style="36"/>
    <col min="2" max="2" width="24.85546875" style="38" bestFit="1" customWidth="1"/>
    <col min="3" max="6" width="20.140625" style="38" customWidth="1"/>
    <col min="7" max="7" width="17.5703125" style="36" bestFit="1" customWidth="1"/>
    <col min="8" max="8" width="17.85546875" style="36" bestFit="1" customWidth="1"/>
    <col min="9" max="9" width="11.42578125" style="36"/>
    <col min="10" max="16384" width="11.42578125" style="38"/>
  </cols>
  <sheetData>
    <row r="1" spans="1:9" s="36" customFormat="1" ht="20.25" x14ac:dyDescent="0.25">
      <c r="B1" s="1"/>
      <c r="D1" s="2" t="s">
        <v>0</v>
      </c>
    </row>
    <row r="2" spans="1:9" s="36" customFormat="1" x14ac:dyDescent="0.25">
      <c r="B2" s="1"/>
      <c r="D2" s="1"/>
    </row>
    <row r="3" spans="1:9" s="36" customFormat="1" x14ac:dyDescent="0.25">
      <c r="B3" s="1"/>
      <c r="D3" s="6" t="s">
        <v>24</v>
      </c>
    </row>
    <row r="4" spans="1:9" s="36" customFormat="1" x14ac:dyDescent="0.25">
      <c r="B4" s="1"/>
      <c r="D4" s="7" t="s">
        <v>25</v>
      </c>
    </row>
    <row r="5" spans="1:9" s="36" customFormat="1" x14ac:dyDescent="0.25">
      <c r="B5" s="1"/>
      <c r="D5" s="6" t="s">
        <v>2</v>
      </c>
    </row>
    <row r="6" spans="1:9" s="36" customFormat="1" x14ac:dyDescent="0.25">
      <c r="B6" s="1"/>
      <c r="D6" s="8"/>
    </row>
    <row r="7" spans="1:9" s="36" customFormat="1" x14ac:dyDescent="0.25"/>
    <row r="8" spans="1:9" x14ac:dyDescent="0.25">
      <c r="B8" s="37" t="s">
        <v>26</v>
      </c>
      <c r="C8" s="37"/>
      <c r="D8" s="37"/>
      <c r="E8" s="37"/>
      <c r="F8" s="37"/>
    </row>
    <row r="9" spans="1:9" ht="15.75" customHeight="1" thickBot="1" x14ac:dyDescent="0.3">
      <c r="B9" s="37"/>
      <c r="C9" s="37"/>
      <c r="D9" s="37"/>
      <c r="E9" s="37"/>
      <c r="F9" s="37"/>
    </row>
    <row r="10" spans="1:9" s="42" customFormat="1" ht="17.25" thickBot="1" x14ac:dyDescent="0.35">
      <c r="A10" s="39"/>
      <c r="B10" s="39"/>
      <c r="C10" s="39"/>
      <c r="D10" s="39"/>
      <c r="E10" s="40" t="s">
        <v>27</v>
      </c>
      <c r="F10" s="41"/>
      <c r="G10" s="39"/>
      <c r="H10" s="39"/>
      <c r="I10" s="39"/>
    </row>
    <row r="11" spans="1:9" s="42" customFormat="1" ht="17.25" thickBot="1" x14ac:dyDescent="0.35">
      <c r="A11" s="39"/>
      <c r="B11" s="43" t="s">
        <v>3</v>
      </c>
      <c r="C11" s="43" t="s">
        <v>28</v>
      </c>
      <c r="D11" s="43" t="s">
        <v>29</v>
      </c>
      <c r="E11" s="44" t="s">
        <v>30</v>
      </c>
      <c r="F11" s="44" t="s">
        <v>31</v>
      </c>
      <c r="G11" s="39"/>
      <c r="H11" s="39"/>
      <c r="I11" s="39"/>
    </row>
    <row r="12" spans="1:9" s="42" customFormat="1" ht="16.5" x14ac:dyDescent="0.3">
      <c r="A12" s="39"/>
      <c r="B12" s="45" t="s">
        <v>18</v>
      </c>
      <c r="C12" s="46">
        <f>SUM(C13:C15)</f>
        <v>78755679868</v>
      </c>
      <c r="D12" s="46">
        <f>SUM(D13:D15)</f>
        <v>78755679868</v>
      </c>
      <c r="E12" s="46">
        <f>SUM(E13:E15)</f>
        <v>16108333765.639999</v>
      </c>
      <c r="F12" s="47">
        <f t="shared" ref="F12:F17" si="0">E12/D12</f>
        <v>0.20453551785266394</v>
      </c>
      <c r="G12" s="39"/>
      <c r="H12" s="39"/>
      <c r="I12" s="39"/>
    </row>
    <row r="13" spans="1:9" s="42" customFormat="1" ht="16.5" x14ac:dyDescent="0.3">
      <c r="A13" s="39"/>
      <c r="B13" s="48" t="s">
        <v>19</v>
      </c>
      <c r="C13" s="49">
        <f>+GETPIVOTDATA("Suma de APR. INICIAL",'[1]TD-EPA'!$A$3,"TIPO","A","CTA","01")</f>
        <v>58763996000</v>
      </c>
      <c r="D13" s="49">
        <f>+GETPIVOTDATA("Suma de APR. VIGENTE",'[1]TD-EPA'!$A$3,"TIPO","A","CTA","01")</f>
        <v>58763996000</v>
      </c>
      <c r="E13" s="49">
        <f>+GETPIVOTDATA("Suma de COMPROMISO",'[1]TD-EPA'!$A$3,"TIPO","A","CTA","01")</f>
        <v>6446552074</v>
      </c>
      <c r="F13" s="50">
        <f t="shared" si="0"/>
        <v>0.10970241155826095</v>
      </c>
      <c r="G13" s="51"/>
      <c r="H13" s="39"/>
      <c r="I13" s="39"/>
    </row>
    <row r="14" spans="1:9" s="42" customFormat="1" ht="16.5" x14ac:dyDescent="0.3">
      <c r="A14" s="39"/>
      <c r="B14" s="48" t="s">
        <v>20</v>
      </c>
      <c r="C14" s="49">
        <f>+GETPIVOTDATA("Suma de APR. INICIAL",'[1]TD-EPA'!$A$3,"TIPO","A","CTA","02")</f>
        <v>12676328868</v>
      </c>
      <c r="D14" s="49">
        <f>+GETPIVOTDATA("Suma de APR. VIGENTE",'[1]TD-EPA'!$A$3,"TIPO","A","CTA","02")</f>
        <v>12676328868</v>
      </c>
      <c r="E14" s="49">
        <f>+GETPIVOTDATA("Suma de COMPROMISO",'[1]TD-EPA'!$A$3,"TIPO","A","CTA","02")</f>
        <v>9374570814.6800003</v>
      </c>
      <c r="F14" s="50">
        <f t="shared" si="0"/>
        <v>0.73953357571410716</v>
      </c>
      <c r="G14" s="51"/>
      <c r="H14" s="39"/>
      <c r="I14" s="39"/>
    </row>
    <row r="15" spans="1:9" s="42" customFormat="1" ht="17.25" thickBot="1" x14ac:dyDescent="0.35">
      <c r="A15" s="39"/>
      <c r="B15" s="52" t="s">
        <v>21</v>
      </c>
      <c r="C15" s="53">
        <f>+GETPIVOTDATA("Suma de APR. INICIAL",'[1]TD-EPA'!$A$3,"TIPO","A","CTA","03")+GETPIVOTDATA("Suma de APR. INICIAL",'[1]TD-EPA'!$A$3,"TIPO","A","CTA","08")</f>
        <v>7315355000</v>
      </c>
      <c r="D15" s="53">
        <f>+GETPIVOTDATA("Suma de APR. VIGENTE",'[1]TD-EPA'!$A$3,"TIPO","A","CTA","03")+GETPIVOTDATA("Suma de APR. VIGENTE",'[1]TD-EPA'!$A$3,"TIPO","A","CTA","08")</f>
        <v>7315355000</v>
      </c>
      <c r="E15" s="53">
        <f>+GETPIVOTDATA("Suma de COMPROMISO",'[1]TD-EPA'!$A$3,"TIPO","A","CTA","03")</f>
        <v>287210876.96000004</v>
      </c>
      <c r="F15" s="54">
        <f t="shared" si="0"/>
        <v>3.9261372409131211E-2</v>
      </c>
      <c r="G15" s="39"/>
      <c r="H15" s="39"/>
      <c r="I15" s="39"/>
    </row>
    <row r="16" spans="1:9" s="42" customFormat="1" ht="17.25" thickBot="1" x14ac:dyDescent="0.35">
      <c r="A16" s="39"/>
      <c r="B16" s="55" t="s">
        <v>32</v>
      </c>
      <c r="C16" s="56">
        <f>+GETPIVOTDATA("Suma de APR. INICIAL",'[1]TD-EPA'!$A$3,"TIPO","C")</f>
        <v>161536218750</v>
      </c>
      <c r="D16" s="56">
        <f>+GETPIVOTDATA("Suma de APR. VIGENTE",'[1]TD-EPA'!$A$3,"TIPO","C")</f>
        <v>161536218750</v>
      </c>
      <c r="E16" s="56">
        <f>+GETPIVOTDATA("Suma de COMPROMISO",'[1]TD-EPA'!$A$3,"TIPO","C")</f>
        <v>72407005995.399994</v>
      </c>
      <c r="F16" s="57">
        <f t="shared" si="0"/>
        <v>0.44824006997130478</v>
      </c>
      <c r="G16" s="39"/>
      <c r="H16" s="39"/>
      <c r="I16" s="39"/>
    </row>
    <row r="17" spans="1:9" s="42" customFormat="1" ht="17.25" thickBot="1" x14ac:dyDescent="0.35">
      <c r="A17" s="39"/>
      <c r="B17" s="58" t="s">
        <v>23</v>
      </c>
      <c r="C17" s="59">
        <f>C12+C16</f>
        <v>240291898618</v>
      </c>
      <c r="D17" s="59">
        <f>D12+D16</f>
        <v>240291898618</v>
      </c>
      <c r="E17" s="60">
        <f>E12+E16</f>
        <v>88515339761.039993</v>
      </c>
      <c r="F17" s="61">
        <f t="shared" si="0"/>
        <v>0.36836589277508586</v>
      </c>
      <c r="G17" s="51"/>
      <c r="H17" s="39"/>
      <c r="I17" s="39"/>
    </row>
    <row r="18" spans="1:9" s="36" customFormat="1" x14ac:dyDescent="0.25"/>
    <row r="19" spans="1:9" ht="15" customHeight="1" x14ac:dyDescent="0.25">
      <c r="B19" s="37" t="s">
        <v>33</v>
      </c>
      <c r="C19" s="37"/>
      <c r="D19" s="37"/>
      <c r="E19" s="37"/>
      <c r="F19" s="37"/>
      <c r="G19" s="62"/>
    </row>
    <row r="20" spans="1:9" ht="15.75" customHeight="1" thickBot="1" x14ac:dyDescent="0.3">
      <c r="B20" s="37"/>
      <c r="C20" s="37"/>
      <c r="D20" s="37"/>
      <c r="E20" s="37"/>
      <c r="F20" s="37"/>
      <c r="G20" s="63"/>
      <c r="H20" s="62"/>
    </row>
    <row r="21" spans="1:9" ht="17.25" thickBot="1" x14ac:dyDescent="0.35">
      <c r="B21" s="39"/>
      <c r="C21" s="39"/>
      <c r="D21" s="39"/>
      <c r="E21" s="40" t="s">
        <v>27</v>
      </c>
      <c r="F21" s="41"/>
      <c r="H21" s="62"/>
    </row>
    <row r="22" spans="1:9" ht="17.25" thickBot="1" x14ac:dyDescent="0.3">
      <c r="B22" s="43" t="s">
        <v>3</v>
      </c>
      <c r="C22" s="43" t="s">
        <v>28</v>
      </c>
      <c r="D22" s="43" t="s">
        <v>29</v>
      </c>
      <c r="E22" s="44" t="s">
        <v>30</v>
      </c>
      <c r="F22" s="44" t="s">
        <v>31</v>
      </c>
      <c r="H22" s="62"/>
    </row>
    <row r="23" spans="1:9" ht="16.5" x14ac:dyDescent="0.3">
      <c r="B23" s="45" t="s">
        <v>18</v>
      </c>
      <c r="C23" s="46">
        <f>SUM(C24:C26)</f>
        <v>78755679868</v>
      </c>
      <c r="D23" s="46">
        <f>SUM(D24:D26)</f>
        <v>78755679868</v>
      </c>
      <c r="E23" s="46">
        <f>SUM(E24:E26)</f>
        <v>8953646037.9599991</v>
      </c>
      <c r="F23" s="47">
        <f>E23/D23</f>
        <v>0.11368889269912891</v>
      </c>
      <c r="G23" s="64"/>
    </row>
    <row r="24" spans="1:9" ht="16.5" x14ac:dyDescent="0.3">
      <c r="B24" s="48" t="s">
        <v>19</v>
      </c>
      <c r="C24" s="49">
        <f>+GETPIVOTDATA("Suma de APR. INICIAL",'[1]TD-EPA'!$A$3,"TIPO","A","CTA","01")</f>
        <v>58763996000</v>
      </c>
      <c r="D24" s="49">
        <f>+GETPIVOTDATA("Suma de APR. VIGENTE",'[1]TD-EPA'!$A$3,"TIPO","A","CTA","01")</f>
        <v>58763996000</v>
      </c>
      <c r="E24" s="49">
        <f>+GETPIVOTDATA("Suma de OBLIGACION",'[1]TD-EPA'!$A$3,"TIPO","A","CTA","01")</f>
        <v>6446552074</v>
      </c>
      <c r="F24" s="50">
        <f t="shared" ref="F24:F28" si="1">E24/D24</f>
        <v>0.10970241155826095</v>
      </c>
    </row>
    <row r="25" spans="1:9" ht="16.5" x14ac:dyDescent="0.3">
      <c r="B25" s="48" t="s">
        <v>20</v>
      </c>
      <c r="C25" s="49">
        <f>+GETPIVOTDATA("Suma de APR. INICIAL",'[1]TD-EPA'!$A$3,"TIPO","A","CTA","02")</f>
        <v>12676328868</v>
      </c>
      <c r="D25" s="49">
        <f>+GETPIVOTDATA("Suma de APR. VIGENTE",'[1]TD-EPA'!$A$3,"TIPO","A","CTA","02")</f>
        <v>12676328868</v>
      </c>
      <c r="E25" s="49">
        <f>+GETPIVOTDATA("Suma de OBLIGACION",'[1]TD-EPA'!$A$3,"TIPO","A","CTA","02")</f>
        <v>2317363279</v>
      </c>
      <c r="F25" s="50">
        <f t="shared" si="1"/>
        <v>0.18281028388668025</v>
      </c>
    </row>
    <row r="26" spans="1:9" ht="17.25" thickBot="1" x14ac:dyDescent="0.35">
      <c r="B26" s="52" t="s">
        <v>21</v>
      </c>
      <c r="C26" s="53">
        <f>+GETPIVOTDATA("Suma de APR. INICIAL",'[1]TD-EPA'!$A$3,"TIPO","A","CTA","03")+GETPIVOTDATA("Suma de APR. INICIAL",'[1]TD-EPA'!$A$3,"TIPO","A","CTA","08")</f>
        <v>7315355000</v>
      </c>
      <c r="D26" s="53">
        <f>+GETPIVOTDATA("Suma de APR. VIGENTE",'[1]TD-EPA'!$A$3,"TIPO","A","CTA","03")+GETPIVOTDATA("Suma de APR. VIGENTE",'[1]TD-EPA'!$A$3,"TIPO","A","CTA","08")</f>
        <v>7315355000</v>
      </c>
      <c r="E26" s="53">
        <f>+GETPIVOTDATA("Suma de OBLIGACION",'[1]TD-EPA'!$A$3,"TIPO","A","CTA","03")</f>
        <v>189730684.96000001</v>
      </c>
      <c r="F26" s="54">
        <f t="shared" si="1"/>
        <v>2.5935950471303169E-2</v>
      </c>
    </row>
    <row r="27" spans="1:9" ht="17.25" thickBot="1" x14ac:dyDescent="0.35">
      <c r="B27" s="55" t="s">
        <v>32</v>
      </c>
      <c r="C27" s="56">
        <f>+GETPIVOTDATA("Suma de APR. INICIAL",'[1]TD-EPA'!$A$3,"TIPO","C")</f>
        <v>161536218750</v>
      </c>
      <c r="D27" s="56">
        <f>+GETPIVOTDATA("Suma de APR. VIGENTE",'[1]TD-EPA'!$A$3,"TIPO","C")</f>
        <v>161536218750</v>
      </c>
      <c r="E27" s="56">
        <f>+GETPIVOTDATA("Suma de OBLIGACION",'[1]TD-EPA'!$A$3,"TIPO","C")</f>
        <v>1088161812</v>
      </c>
      <c r="F27" s="57">
        <f t="shared" si="1"/>
        <v>6.7363333153420118E-3</v>
      </c>
      <c r="G27" s="63"/>
    </row>
    <row r="28" spans="1:9" ht="17.25" thickBot="1" x14ac:dyDescent="0.35">
      <c r="B28" s="58" t="s">
        <v>23</v>
      </c>
      <c r="C28" s="59">
        <f>C23+C27</f>
        <v>240291898618</v>
      </c>
      <c r="D28" s="59">
        <f>D23+D27</f>
        <v>240291898618</v>
      </c>
      <c r="E28" s="60">
        <f>E23+E27</f>
        <v>10041807849.959999</v>
      </c>
      <c r="F28" s="61">
        <f t="shared" si="1"/>
        <v>4.1790039147028397E-2</v>
      </c>
      <c r="G28" s="63"/>
    </row>
    <row r="29" spans="1:9" s="36" customFormat="1" x14ac:dyDescent="0.25"/>
    <row r="30" spans="1:9" s="36" customFormat="1" x14ac:dyDescent="0.25"/>
    <row r="31" spans="1:9" s="36" customFormat="1" x14ac:dyDescent="0.25"/>
    <row r="32" spans="1:9" s="36" customFormat="1" x14ac:dyDescent="0.25"/>
    <row r="33" s="36" customFormat="1" x14ac:dyDescent="0.25"/>
    <row r="34" s="36" customFormat="1" x14ac:dyDescent="0.25"/>
    <row r="35" s="36" customFormat="1" x14ac:dyDescent="0.25"/>
    <row r="36" s="36" customFormat="1" x14ac:dyDescent="0.25"/>
    <row r="37" s="36" customFormat="1" x14ac:dyDescent="0.25"/>
    <row r="38" s="36" customFormat="1" x14ac:dyDescent="0.25"/>
    <row r="39" s="36" customFormat="1" x14ac:dyDescent="0.25"/>
    <row r="40" s="36" customFormat="1" x14ac:dyDescent="0.25"/>
    <row r="41" s="36" customFormat="1" x14ac:dyDescent="0.25"/>
    <row r="42" s="36" customFormat="1" x14ac:dyDescent="0.25"/>
    <row r="43" s="36" customFormat="1" x14ac:dyDescent="0.25"/>
    <row r="44" s="36" customFormat="1" x14ac:dyDescent="0.25"/>
    <row r="45" s="36" customFormat="1" x14ac:dyDescent="0.25"/>
    <row r="46" s="36" customFormat="1" x14ac:dyDescent="0.25"/>
    <row r="47" s="36" customFormat="1" x14ac:dyDescent="0.25"/>
    <row r="48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</sheetData>
  <mergeCells count="4">
    <mergeCell ref="B19:F20"/>
    <mergeCell ref="E21:F21"/>
    <mergeCell ref="B8:F9"/>
    <mergeCell ref="E10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DESAGRAGADA</vt:lpstr>
      <vt:lpstr>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Lorena Steffania Barrero Quiñonez</cp:lastModifiedBy>
  <dcterms:created xsi:type="dcterms:W3CDTF">2019-03-04T20:11:42Z</dcterms:created>
  <dcterms:modified xsi:type="dcterms:W3CDTF">2019-03-04T20:13:36Z</dcterms:modified>
</cp:coreProperties>
</file>