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800" windowHeight="12135"/>
  </bookViews>
  <sheets>
    <sheet name="EJECUCIÓN WEB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38" i="1"/>
  <c r="F38" i="1"/>
  <c r="G38" i="1" s="1"/>
  <c r="D38" i="1"/>
  <c r="C38" i="1"/>
  <c r="B38" i="1"/>
  <c r="J37" i="1"/>
  <c r="K37" i="1" s="1"/>
  <c r="I37" i="1"/>
  <c r="H37" i="1"/>
  <c r="F37" i="1"/>
  <c r="G37" i="1" s="1"/>
  <c r="D37" i="1"/>
  <c r="E37" i="1" s="1"/>
  <c r="C37" i="1"/>
  <c r="B37" i="1"/>
  <c r="I36" i="1"/>
  <c r="H36" i="1"/>
  <c r="J36" i="1" s="1"/>
  <c r="K36" i="1" s="1"/>
  <c r="F36" i="1"/>
  <c r="D36" i="1"/>
  <c r="E36" i="1" s="1"/>
  <c r="C36" i="1"/>
  <c r="B36" i="1"/>
  <c r="I35" i="1"/>
  <c r="H35" i="1"/>
  <c r="F35" i="1"/>
  <c r="G35" i="1" s="1"/>
  <c r="D35" i="1"/>
  <c r="C35" i="1"/>
  <c r="J35" i="1" s="1"/>
  <c r="K35" i="1" s="1"/>
  <c r="B35" i="1"/>
  <c r="I34" i="1"/>
  <c r="H34" i="1"/>
  <c r="F34" i="1"/>
  <c r="D34" i="1"/>
  <c r="C34" i="1"/>
  <c r="B34" i="1"/>
  <c r="I33" i="1"/>
  <c r="H33" i="1"/>
  <c r="J33" i="1" s="1"/>
  <c r="K33" i="1" s="1"/>
  <c r="F33" i="1"/>
  <c r="D33" i="1"/>
  <c r="E33" i="1" s="1"/>
  <c r="C33" i="1"/>
  <c r="B33" i="1"/>
  <c r="I32" i="1"/>
  <c r="H32" i="1"/>
  <c r="J32" i="1" s="1"/>
  <c r="K32" i="1" s="1"/>
  <c r="F32" i="1"/>
  <c r="G32" i="1" s="1"/>
  <c r="D32" i="1"/>
  <c r="E32" i="1" s="1"/>
  <c r="C32" i="1"/>
  <c r="B32" i="1"/>
  <c r="I31" i="1"/>
  <c r="H31" i="1"/>
  <c r="F31" i="1"/>
  <c r="D31" i="1"/>
  <c r="C31" i="1"/>
  <c r="N31" i="1" s="1"/>
  <c r="O31" i="1" s="1"/>
  <c r="B31" i="1"/>
  <c r="I30" i="1"/>
  <c r="H30" i="1"/>
  <c r="J30" i="1" s="1"/>
  <c r="K30" i="1" s="1"/>
  <c r="F30" i="1"/>
  <c r="D30" i="1"/>
  <c r="E30" i="1" s="1"/>
  <c r="C30" i="1"/>
  <c r="B30" i="1"/>
  <c r="I29" i="1"/>
  <c r="H29" i="1"/>
  <c r="J29" i="1" s="1"/>
  <c r="K29" i="1" s="1"/>
  <c r="F29" i="1"/>
  <c r="D29" i="1"/>
  <c r="E29" i="1" s="1"/>
  <c r="C29" i="1"/>
  <c r="N29" i="1" s="1"/>
  <c r="O29" i="1" s="1"/>
  <c r="B29" i="1"/>
  <c r="I28" i="1"/>
  <c r="H28" i="1"/>
  <c r="J28" i="1" s="1"/>
  <c r="K28" i="1" s="1"/>
  <c r="F28" i="1"/>
  <c r="D28" i="1"/>
  <c r="E28" i="1" s="1"/>
  <c r="C28" i="1"/>
  <c r="L28" i="1" s="1"/>
  <c r="M28" i="1" s="1"/>
  <c r="B28" i="1"/>
  <c r="I26" i="1"/>
  <c r="H26" i="1"/>
  <c r="F26" i="1"/>
  <c r="D26" i="1"/>
  <c r="C26" i="1"/>
  <c r="N26" i="1" s="1"/>
  <c r="O26" i="1" s="1"/>
  <c r="B26" i="1"/>
  <c r="I25" i="1"/>
  <c r="H25" i="1"/>
  <c r="J25" i="1" s="1"/>
  <c r="K25" i="1" s="1"/>
  <c r="F25" i="1"/>
  <c r="D25" i="1"/>
  <c r="C25" i="1"/>
  <c r="L25" i="1" s="1"/>
  <c r="M25" i="1" s="1"/>
  <c r="B25" i="1"/>
  <c r="I24" i="1"/>
  <c r="H24" i="1"/>
  <c r="F24" i="1"/>
  <c r="D24" i="1"/>
  <c r="C24" i="1"/>
  <c r="L24" i="1" s="1"/>
  <c r="M24" i="1" s="1"/>
  <c r="B24" i="1"/>
  <c r="J23" i="1"/>
  <c r="K23" i="1" s="1"/>
  <c r="I23" i="1"/>
  <c r="I20" i="1" s="1"/>
  <c r="H23" i="1"/>
  <c r="F23" i="1"/>
  <c r="G23" i="1" s="1"/>
  <c r="D23" i="1"/>
  <c r="E23" i="1" s="1"/>
  <c r="C23" i="1"/>
  <c r="B23" i="1"/>
  <c r="J22" i="1"/>
  <c r="K22" i="1" s="1"/>
  <c r="I22" i="1"/>
  <c r="H22" i="1"/>
  <c r="F22" i="1"/>
  <c r="G22" i="1" s="1"/>
  <c r="E22" i="1"/>
  <c r="D22" i="1"/>
  <c r="C22" i="1"/>
  <c r="B22" i="1"/>
  <c r="J21" i="1"/>
  <c r="K21" i="1" s="1"/>
  <c r="I21" i="1"/>
  <c r="H21" i="1"/>
  <c r="F21" i="1"/>
  <c r="F20" i="1" s="1"/>
  <c r="D21" i="1"/>
  <c r="C21" i="1"/>
  <c r="B21" i="1"/>
  <c r="I19" i="1"/>
  <c r="H19" i="1"/>
  <c r="F19" i="1"/>
  <c r="G19" i="1" s="1"/>
  <c r="D19" i="1"/>
  <c r="C19" i="1"/>
  <c r="B19" i="1"/>
  <c r="J18" i="1"/>
  <c r="K18" i="1" s="1"/>
  <c r="I18" i="1"/>
  <c r="I17" i="1" s="1"/>
  <c r="H18" i="1"/>
  <c r="F18" i="1"/>
  <c r="G18" i="1" s="1"/>
  <c r="D18" i="1"/>
  <c r="E18" i="1" s="1"/>
  <c r="C18" i="1"/>
  <c r="B18" i="1"/>
  <c r="B17" i="1" s="1"/>
  <c r="F17" i="1"/>
  <c r="N16" i="1"/>
  <c r="O16" i="1" s="1"/>
  <c r="I16" i="1"/>
  <c r="H16" i="1"/>
  <c r="J16" i="1" s="1"/>
  <c r="K16" i="1" s="1"/>
  <c r="F16" i="1"/>
  <c r="G16" i="1" s="1"/>
  <c r="D16" i="1"/>
  <c r="L16" i="1" s="1"/>
  <c r="M16" i="1" s="1"/>
  <c r="C16" i="1"/>
  <c r="B16" i="1"/>
  <c r="I15" i="1"/>
  <c r="H15" i="1"/>
  <c r="F15" i="1"/>
  <c r="N15" i="1" s="1"/>
  <c r="O15" i="1" s="1"/>
  <c r="D15" i="1"/>
  <c r="E15" i="1" s="1"/>
  <c r="C15" i="1"/>
  <c r="B15" i="1"/>
  <c r="L14" i="1"/>
  <c r="M14" i="1" s="1"/>
  <c r="I14" i="1"/>
  <c r="H14" i="1"/>
  <c r="F14" i="1"/>
  <c r="G14" i="1" s="1"/>
  <c r="E14" i="1"/>
  <c r="D14" i="1"/>
  <c r="C14" i="1"/>
  <c r="B14" i="1"/>
  <c r="I13" i="1"/>
  <c r="H13" i="1"/>
  <c r="F13" i="1"/>
  <c r="D13" i="1"/>
  <c r="C13" i="1"/>
  <c r="B13" i="1"/>
  <c r="I12" i="1"/>
  <c r="H12" i="1"/>
  <c r="F12" i="1"/>
  <c r="D12" i="1"/>
  <c r="C12" i="1"/>
  <c r="J12" i="1" s="1"/>
  <c r="K12" i="1" s="1"/>
  <c r="B12" i="1"/>
  <c r="J11" i="1"/>
  <c r="K11" i="1" s="1"/>
  <c r="I11" i="1"/>
  <c r="H11" i="1"/>
  <c r="F11" i="1"/>
  <c r="D11" i="1"/>
  <c r="C11" i="1"/>
  <c r="L11" i="1" s="1"/>
  <c r="M11" i="1" s="1"/>
  <c r="B11" i="1"/>
  <c r="I10" i="1"/>
  <c r="H10" i="1"/>
  <c r="H9" i="1" s="1"/>
  <c r="F10" i="1"/>
  <c r="G10" i="1" s="1"/>
  <c r="D10" i="1"/>
  <c r="C10" i="1"/>
  <c r="J10" i="1" s="1"/>
  <c r="K10" i="1" s="1"/>
  <c r="B10" i="1"/>
  <c r="F9" i="1" l="1"/>
  <c r="F8" i="1" s="1"/>
  <c r="C9" i="1"/>
  <c r="D20" i="1"/>
  <c r="B27" i="1"/>
  <c r="B9" i="1"/>
  <c r="B8" i="1" s="1"/>
  <c r="B39" i="1" s="1"/>
  <c r="B40" i="1" s="1"/>
  <c r="G11" i="1"/>
  <c r="L10" i="1"/>
  <c r="M10" i="1" s="1"/>
  <c r="N11" i="1"/>
  <c r="O11" i="1" s="1"/>
  <c r="G12" i="1"/>
  <c r="L12" i="1"/>
  <c r="M12" i="1" s="1"/>
  <c r="G13" i="1"/>
  <c r="J14" i="1"/>
  <c r="K14" i="1" s="1"/>
  <c r="G15" i="1"/>
  <c r="H17" i="1"/>
  <c r="B20" i="1"/>
  <c r="E24" i="1"/>
  <c r="J24" i="1"/>
  <c r="K24" i="1" s="1"/>
  <c r="E25" i="1"/>
  <c r="G26" i="1"/>
  <c r="C27" i="1"/>
  <c r="L30" i="1"/>
  <c r="M30" i="1" s="1"/>
  <c r="G31" i="1"/>
  <c r="G34" i="1"/>
  <c r="N38" i="1"/>
  <c r="O38" i="1" s="1"/>
  <c r="E10" i="1"/>
  <c r="E11" i="1"/>
  <c r="L15" i="1"/>
  <c r="M15" i="1" s="1"/>
  <c r="J19" i="1"/>
  <c r="C20" i="1"/>
  <c r="G20" i="1" s="1"/>
  <c r="L22" i="1"/>
  <c r="M22" i="1" s="1"/>
  <c r="L23" i="1"/>
  <c r="M23" i="1" s="1"/>
  <c r="N23" i="1"/>
  <c r="O23" i="1" s="1"/>
  <c r="G24" i="1"/>
  <c r="G25" i="1"/>
  <c r="H20" i="1"/>
  <c r="F27" i="1"/>
  <c r="G27" i="1" s="1"/>
  <c r="G28" i="1"/>
  <c r="G29" i="1"/>
  <c r="G30" i="1"/>
  <c r="J31" i="1"/>
  <c r="K31" i="1" s="1"/>
  <c r="G33" i="1"/>
  <c r="J34" i="1"/>
  <c r="K34" i="1" s="1"/>
  <c r="E35" i="1"/>
  <c r="G36" i="1"/>
  <c r="E38" i="1"/>
  <c r="N10" i="1"/>
  <c r="O10" i="1" s="1"/>
  <c r="H27" i="1"/>
  <c r="E12" i="1"/>
  <c r="L18" i="1"/>
  <c r="M18" i="1" s="1"/>
  <c r="N22" i="1"/>
  <c r="O22" i="1" s="1"/>
  <c r="E26" i="1"/>
  <c r="I27" i="1"/>
  <c r="E31" i="1"/>
  <c r="E34" i="1"/>
  <c r="K19" i="1"/>
  <c r="J17" i="1"/>
  <c r="H8" i="1"/>
  <c r="H39" i="1" s="1"/>
  <c r="H40" i="1" s="1"/>
  <c r="L9" i="1"/>
  <c r="L13" i="1"/>
  <c r="M13" i="1" s="1"/>
  <c r="L19" i="1"/>
  <c r="M19" i="1" s="1"/>
  <c r="L38" i="1"/>
  <c r="M38" i="1" s="1"/>
  <c r="E13" i="1"/>
  <c r="N13" i="1"/>
  <c r="O13" i="1" s="1"/>
  <c r="N14" i="1"/>
  <c r="O14" i="1" s="1"/>
  <c r="J15" i="1"/>
  <c r="K15" i="1" s="1"/>
  <c r="E16" i="1"/>
  <c r="E19" i="1"/>
  <c r="N19" i="1"/>
  <c r="O19" i="1" s="1"/>
  <c r="G21" i="1"/>
  <c r="N28" i="1"/>
  <c r="L29" i="1"/>
  <c r="M29" i="1" s="1"/>
  <c r="L36" i="1"/>
  <c r="M36" i="1" s="1"/>
  <c r="N37" i="1"/>
  <c r="O37" i="1" s="1"/>
  <c r="N12" i="1"/>
  <c r="J13" i="1"/>
  <c r="C17" i="1"/>
  <c r="N18" i="1"/>
  <c r="L21" i="1"/>
  <c r="N24" i="1"/>
  <c r="O24" i="1" s="1"/>
  <c r="J26" i="1"/>
  <c r="K26" i="1" s="1"/>
  <c r="L34" i="1"/>
  <c r="M34" i="1" s="1"/>
  <c r="N35" i="1"/>
  <c r="O35" i="1" s="1"/>
  <c r="D9" i="1"/>
  <c r="I9" i="1"/>
  <c r="I8" i="1" s="1"/>
  <c r="D17" i="1"/>
  <c r="E17" i="1" s="1"/>
  <c r="E21" i="1"/>
  <c r="N21" i="1"/>
  <c r="N25" i="1"/>
  <c r="O25" i="1" s="1"/>
  <c r="L26" i="1"/>
  <c r="M26" i="1" s="1"/>
  <c r="D27" i="1"/>
  <c r="N30" i="1"/>
  <c r="O30" i="1" s="1"/>
  <c r="L31" i="1"/>
  <c r="M31" i="1" s="1"/>
  <c r="L32" i="1"/>
  <c r="M32" i="1" s="1"/>
  <c r="N33" i="1"/>
  <c r="O33" i="1" s="1"/>
  <c r="N32" i="1"/>
  <c r="O32" i="1" s="1"/>
  <c r="L33" i="1"/>
  <c r="M33" i="1" s="1"/>
  <c r="N34" i="1"/>
  <c r="O34" i="1" s="1"/>
  <c r="L35" i="1"/>
  <c r="M35" i="1" s="1"/>
  <c r="N36" i="1"/>
  <c r="O36" i="1" s="1"/>
  <c r="L37" i="1"/>
  <c r="M37" i="1" s="1"/>
  <c r="J38" i="1"/>
  <c r="K38" i="1" s="1"/>
  <c r="I39" i="1" l="1"/>
  <c r="I40" i="1" s="1"/>
  <c r="C8" i="1"/>
  <c r="C39" i="1" s="1"/>
  <c r="G9" i="1"/>
  <c r="E20" i="1"/>
  <c r="E27" i="1"/>
  <c r="C40" i="1"/>
  <c r="M21" i="1"/>
  <c r="L20" i="1"/>
  <c r="M20" i="1" s="1"/>
  <c r="O12" i="1"/>
  <c r="N9" i="1"/>
  <c r="O28" i="1"/>
  <c r="N27" i="1"/>
  <c r="O27" i="1" s="1"/>
  <c r="F39" i="1"/>
  <c r="G8" i="1"/>
  <c r="M9" i="1"/>
  <c r="J27" i="1"/>
  <c r="K27" i="1" s="1"/>
  <c r="O18" i="1"/>
  <c r="N17" i="1"/>
  <c r="O17" i="1" s="1"/>
  <c r="L17" i="1"/>
  <c r="M17" i="1" s="1"/>
  <c r="G17" i="1"/>
  <c r="K17" i="1"/>
  <c r="K13" i="1"/>
  <c r="J9" i="1"/>
  <c r="L27" i="1"/>
  <c r="M27" i="1" s="1"/>
  <c r="O21" i="1"/>
  <c r="N20" i="1"/>
  <c r="O20" i="1" s="1"/>
  <c r="E9" i="1"/>
  <c r="D8" i="1"/>
  <c r="J20" i="1"/>
  <c r="K20" i="1" s="1"/>
  <c r="D39" i="1" l="1"/>
  <c r="E8" i="1"/>
  <c r="G40" i="1"/>
  <c r="F40" i="1"/>
  <c r="G39" i="1"/>
  <c r="N8" i="1"/>
  <c r="O9" i="1"/>
  <c r="J8" i="1"/>
  <c r="K9" i="1"/>
  <c r="L8" i="1"/>
  <c r="E39" i="1" l="1"/>
  <c r="E40" i="1"/>
  <c r="D40" i="1"/>
  <c r="J39" i="1"/>
  <c r="K8" i="1"/>
  <c r="L39" i="1"/>
  <c r="L40" i="1" s="1"/>
  <c r="M8" i="1"/>
  <c r="O8" i="1"/>
  <c r="N39" i="1"/>
  <c r="O40" i="1" l="1"/>
  <c r="O39" i="1"/>
  <c r="N40" i="1"/>
  <c r="M39" i="1"/>
  <c r="M40" i="1"/>
  <c r="K40" i="1"/>
  <c r="K39" i="1"/>
  <c r="J40" i="1"/>
</calcChain>
</file>

<file path=xl/sharedStrings.xml><?xml version="1.0" encoding="utf-8"?>
<sst xmlns="http://schemas.openxmlformats.org/spreadsheetml/2006/main" count="51" uniqueCount="51">
  <si>
    <t>SUPERINTENDENCIA DE INDUSTRIA Y COMERCIO</t>
  </si>
  <si>
    <t>INFORME DE EJECUCIÓN PRESUPUESTAL</t>
  </si>
  <si>
    <t>ENERO - 2017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</si>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</sst>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9" fontId="3" fillId="2" borderId="0" xfId="3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" fontId="5" fillId="2" borderId="0" xfId="1" quotePrefix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 wrapText="1"/>
    </xf>
    <xf numFmtId="10" fontId="6" fillId="3" borderId="1" xfId="3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 wrapText="1"/>
    </xf>
    <xf numFmtId="9" fontId="6" fillId="3" borderId="1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left" vertical="center" wrapText="1"/>
    </xf>
    <xf numFmtId="164" fontId="8" fillId="4" borderId="1" xfId="2" applyNumberFormat="1" applyFont="1" applyFill="1" applyBorder="1" applyAlignment="1">
      <alignment vertical="center"/>
    </xf>
    <xf numFmtId="10" fontId="8" fillId="4" borderId="1" xfId="3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5" borderId="1" xfId="1" applyNumberFormat="1" applyFont="1" applyFill="1" applyBorder="1" applyAlignment="1">
      <alignment horizontal="left" vertical="center" wrapText="1"/>
    </xf>
    <xf numFmtId="164" fontId="8" fillId="5" borderId="1" xfId="2" applyNumberFormat="1" applyFont="1" applyFill="1" applyBorder="1" applyAlignment="1">
      <alignment vertical="center"/>
    </xf>
    <xf numFmtId="10" fontId="8" fillId="5" borderId="1" xfId="3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left" vertical="center" wrapText="1"/>
    </xf>
    <xf numFmtId="164" fontId="11" fillId="0" borderId="1" xfId="2" applyNumberFormat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vertical="center"/>
    </xf>
    <xf numFmtId="10" fontId="11" fillId="0" borderId="1" xfId="3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10" fontId="12" fillId="0" borderId="0" xfId="3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6" fontId="3" fillId="0" borderId="0" xfId="4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</cellXfs>
  <cellStyles count="5">
    <cellStyle name="Millares 2" xfId="2"/>
    <cellStyle name="Normal" xfId="0" builtinId="0"/>
    <cellStyle name="Normal 2" xfId="1"/>
    <cellStyle name="Porcentaje 2" xfId="3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180586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4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GEP\BACK%20UP%20PARTE%201\2017\WEB%20SIC\INFORME%20EPA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JECUCIÓN"/>
      <sheetName val="METAS"/>
      <sheetName val="TD-EPA (2)"/>
      <sheetName val="TD-EPA"/>
      <sheetName val="EPA - SIIF"/>
      <sheetName val="METAS EJEC. SIC - MINCIT"/>
    </sheetNames>
    <sheetDataSet>
      <sheetData sheetId="0"/>
      <sheetData sheetId="1"/>
      <sheetData sheetId="2"/>
      <sheetData sheetId="3"/>
      <sheetData sheetId="4">
        <row r="5">
          <cell r="A5" t="str">
            <v>1</v>
          </cell>
          <cell r="B5">
            <v>54004933333</v>
          </cell>
          <cell r="C5">
            <v>54004933333</v>
          </cell>
          <cell r="D5">
            <v>50764831506</v>
          </cell>
          <cell r="E5">
            <v>2653537929</v>
          </cell>
          <cell r="F5">
            <v>2394760439</v>
          </cell>
          <cell r="G5">
            <v>2394760439</v>
          </cell>
          <cell r="H5">
            <v>3100000000</v>
          </cell>
        </row>
        <row r="6">
          <cell r="A6" t="str">
            <v>CONTRIBUCIONES INHERENTES A LA NOMINA SECTOR PRIVADO Y PUBLICO</v>
          </cell>
          <cell r="B6">
            <v>10325333333</v>
          </cell>
          <cell r="C6">
            <v>10325333333</v>
          </cell>
          <cell r="D6">
            <v>10284032000</v>
          </cell>
          <cell r="E6">
            <v>53579878</v>
          </cell>
          <cell r="F6">
            <v>53579878</v>
          </cell>
          <cell r="G6">
            <v>53579878</v>
          </cell>
          <cell r="H6">
            <v>0</v>
          </cell>
        </row>
        <row r="7">
          <cell r="A7" t="str">
            <v>HORAS EXTRAS, DIAS FESTIVOS E INDEMNIZACION POR VACACIONES</v>
          </cell>
          <cell r="B7">
            <v>334000000</v>
          </cell>
          <cell r="C7">
            <v>334000000</v>
          </cell>
          <cell r="D7">
            <v>334000000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A8" t="str">
            <v>OTROS</v>
          </cell>
          <cell r="B8">
            <v>23087000000</v>
          </cell>
          <cell r="C8">
            <v>23087000000</v>
          </cell>
          <cell r="D8">
            <v>23087000000</v>
          </cell>
          <cell r="E8">
            <v>1077168834</v>
          </cell>
          <cell r="F8">
            <v>1077168834</v>
          </cell>
          <cell r="G8">
            <v>1077168834</v>
          </cell>
          <cell r="H8">
            <v>0</v>
          </cell>
        </row>
        <row r="9">
          <cell r="A9" t="str">
            <v>OTROS GASTOS PERSONALES - PREVIO CONCEPTO DGPPN</v>
          </cell>
          <cell r="B9">
            <v>3100000000</v>
          </cell>
          <cell r="C9">
            <v>3100000000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3100000000</v>
          </cell>
        </row>
        <row r="10">
          <cell r="A10" t="str">
            <v>PRIMA TECNICA</v>
          </cell>
          <cell r="B10">
            <v>883000000</v>
          </cell>
          <cell r="C10">
            <v>883000000</v>
          </cell>
          <cell r="D10">
            <v>883000000</v>
          </cell>
          <cell r="E10">
            <v>71608212</v>
          </cell>
          <cell r="F10">
            <v>71608212</v>
          </cell>
          <cell r="G10">
            <v>71608212</v>
          </cell>
          <cell r="H10">
            <v>0</v>
          </cell>
        </row>
        <row r="11">
          <cell r="A11" t="str">
            <v>SERVICIOS PERSONALES INDIRECTOS</v>
          </cell>
          <cell r="B11">
            <v>463600000</v>
          </cell>
          <cell r="C11">
            <v>463600000</v>
          </cell>
          <cell r="D11">
            <v>404799506</v>
          </cell>
          <cell r="E11">
            <v>258777490</v>
          </cell>
          <cell r="F11">
            <v>0</v>
          </cell>
          <cell r="G11">
            <v>0</v>
          </cell>
          <cell r="H11">
            <v>0</v>
          </cell>
        </row>
        <row r="12">
          <cell r="A12" t="str">
            <v>SUELDOS DE PERSONAL DE NOMINA</v>
          </cell>
          <cell r="B12">
            <v>15812000000</v>
          </cell>
          <cell r="C12">
            <v>15812000000</v>
          </cell>
          <cell r="D12">
            <v>15772000000</v>
          </cell>
          <cell r="E12">
            <v>1192403515</v>
          </cell>
          <cell r="F12">
            <v>1192403515</v>
          </cell>
          <cell r="G12">
            <v>1192403515</v>
          </cell>
          <cell r="H12">
            <v>0</v>
          </cell>
        </row>
        <row r="13">
          <cell r="A13" t="str">
            <v>2</v>
          </cell>
          <cell r="B13">
            <v>10709950000</v>
          </cell>
          <cell r="C13">
            <v>10709950000</v>
          </cell>
          <cell r="D13">
            <v>10090004243</v>
          </cell>
          <cell r="E13">
            <v>6913294195.3800001</v>
          </cell>
          <cell r="F13">
            <v>222660540</v>
          </cell>
          <cell r="G13">
            <v>215149359</v>
          </cell>
          <cell r="H13">
            <v>0</v>
          </cell>
        </row>
        <row r="14">
          <cell r="A14" t="str">
            <v>ADQUISICION DE BIENES Y SERVICIOS</v>
          </cell>
          <cell r="B14">
            <v>10659950000</v>
          </cell>
          <cell r="C14">
            <v>10659950000</v>
          </cell>
          <cell r="D14">
            <v>10090004243</v>
          </cell>
          <cell r="E14">
            <v>6913294195.3800001</v>
          </cell>
          <cell r="F14">
            <v>222660540</v>
          </cell>
          <cell r="G14">
            <v>215149359</v>
          </cell>
          <cell r="H14">
            <v>0</v>
          </cell>
        </row>
        <row r="15">
          <cell r="A15" t="str">
            <v>IMPUESTOS Y MULTAS</v>
          </cell>
          <cell r="B15">
            <v>50000000</v>
          </cell>
          <cell r="C15">
            <v>50000000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3</v>
          </cell>
          <cell r="B16">
            <v>5364000000</v>
          </cell>
          <cell r="C16">
            <v>5364000000</v>
          </cell>
          <cell r="D16">
            <v>1148375138</v>
          </cell>
          <cell r="E16">
            <v>252500303.17000002</v>
          </cell>
          <cell r="F16">
            <v>80481708.170000002</v>
          </cell>
          <cell r="G16">
            <v>75825243.170000002</v>
          </cell>
          <cell r="H16">
            <v>0</v>
          </cell>
        </row>
        <row r="17">
          <cell r="A17" t="str">
            <v>APORTE PREVISION SOCIAL SERVICIOS MEDICOS</v>
          </cell>
          <cell r="B17">
            <v>607000000</v>
          </cell>
          <cell r="C17">
            <v>607000000</v>
          </cell>
          <cell r="D17">
            <v>607000000</v>
          </cell>
          <cell r="E17">
            <v>52352706</v>
          </cell>
          <cell r="F17">
            <v>52352706</v>
          </cell>
          <cell r="G17">
            <v>52352706</v>
          </cell>
          <cell r="H17">
            <v>0</v>
          </cell>
        </row>
        <row r="18">
          <cell r="A18" t="str">
            <v>CONVENCION DEL METRO - OFICINA INTERNACIONAL DE PESAS Y MEDIDAS - BIPM. LEY 1512 DE 2012</v>
          </cell>
          <cell r="B18">
            <v>162000000</v>
          </cell>
          <cell r="C18">
            <v>162000000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CUOTA DE AUDITAJE CONTRANAL</v>
          </cell>
          <cell r="B19">
            <v>177000000</v>
          </cell>
          <cell r="C19">
            <v>177000000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MESADAS PENSIONALES</v>
          </cell>
          <cell r="B20">
            <v>352000000</v>
          </cell>
          <cell r="C20">
            <v>352000000</v>
          </cell>
          <cell r="D20">
            <v>352000000</v>
          </cell>
          <cell r="E20">
            <v>23472537.170000002</v>
          </cell>
          <cell r="F20">
            <v>23472537.170000002</v>
          </cell>
          <cell r="G20">
            <v>23472537.170000002</v>
          </cell>
          <cell r="H20">
            <v>0</v>
          </cell>
        </row>
        <row r="21">
          <cell r="A21" t="str">
            <v>ORGANIZACION PARA LA COOPERACION Y EL DESARROLLO ECONOMICO OCDE-ARTICULO 47 LEY 1450 DE 2011</v>
          </cell>
          <cell r="B21">
            <v>66000000</v>
          </cell>
          <cell r="C21">
            <v>66000000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SENTENCIAS Y CONCILIACIONES</v>
          </cell>
          <cell r="B22">
            <v>4000000000</v>
          </cell>
          <cell r="C22">
            <v>4000000000</v>
          </cell>
          <cell r="D22">
            <v>189375138</v>
          </cell>
          <cell r="E22">
            <v>176675060</v>
          </cell>
          <cell r="F22">
            <v>4656465</v>
          </cell>
          <cell r="G22">
            <v>0</v>
          </cell>
          <cell r="H22">
            <v>0</v>
          </cell>
        </row>
        <row r="23">
          <cell r="A23" t="str">
            <v>C</v>
          </cell>
          <cell r="B23">
            <v>87360813320</v>
          </cell>
          <cell r="C23">
            <v>87360813320</v>
          </cell>
          <cell r="D23">
            <v>60557155390.830002</v>
          </cell>
          <cell r="E23">
            <v>42267883925.82</v>
          </cell>
          <cell r="F23">
            <v>16978959</v>
          </cell>
          <cell r="G23">
            <v>16143638</v>
          </cell>
          <cell r="H23">
            <v>0</v>
          </cell>
        </row>
        <row r="24">
          <cell r="A24" t="str">
            <v>3503</v>
          </cell>
          <cell r="B24">
            <v>48170382570</v>
          </cell>
          <cell r="C24">
            <v>48170382570</v>
          </cell>
          <cell r="D24">
            <v>35940658956.010002</v>
          </cell>
          <cell r="E24">
            <v>21174894608</v>
          </cell>
          <cell r="F24">
            <v>16905748</v>
          </cell>
          <cell r="G24">
            <v>16070427</v>
          </cell>
          <cell r="H24">
            <v>0</v>
          </cell>
        </row>
        <row r="25">
          <cell r="A25" t="str">
            <v>DIFUSIÓN E INCREMENTO DE LOS NIVELES DE EFICIENCIA EN LA ATENCIÓN DE TRÁMITES Y SERVICIOS EN MATERIA JURISDICCIONAL A NIVEL NACIONAL</v>
          </cell>
          <cell r="B25">
            <v>2988390000</v>
          </cell>
          <cell r="C25">
            <v>2988390000</v>
          </cell>
          <cell r="D25">
            <v>2703791350</v>
          </cell>
          <cell r="E25">
            <v>1320220950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DIVULGACIÓN Y FORTALECIMIENTO DE LAS FUNCIONES DE PROTECCIÓN DE LA COMPETENCIA A NIVEL NACIONAL</v>
          </cell>
          <cell r="B26">
            <v>9161813320</v>
          </cell>
          <cell r="C26">
            <v>9161813320</v>
          </cell>
          <cell r="D26">
            <v>7327655000</v>
          </cell>
          <cell r="E26">
            <v>4311948333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FORTALECIMIENTO DE LA RED NACIONAL DE PROTECCIÓN AL CONSUMIDOR EN COLOMBIA</v>
          </cell>
          <cell r="B27">
            <v>21633000000</v>
          </cell>
          <cell r="C27">
            <v>21633000000</v>
          </cell>
          <cell r="D27">
            <v>12997927007.01</v>
          </cell>
          <cell r="E27">
            <v>9147421662</v>
          </cell>
          <cell r="F27">
            <v>16832537</v>
          </cell>
          <cell r="G27">
            <v>15997216</v>
          </cell>
          <cell r="H27">
            <v>0</v>
          </cell>
        </row>
        <row r="28">
          <cell r="A28" t="str">
            <v>FORTALECIMIENTO DE LOS MECANISMOS PARA EJERCER CONTROL Y VIGILANCIA A LAS CÁMARAS DE COMERCIO Y COMERCIANTES A NIVEL NACIONAL</v>
          </cell>
          <cell r="B28">
            <v>891000000</v>
          </cell>
          <cell r="C28">
            <v>891000000</v>
          </cell>
          <cell r="D28">
            <v>623800000</v>
          </cell>
          <cell r="E28">
            <v>441110000</v>
          </cell>
          <cell r="F28">
            <v>0</v>
          </cell>
          <cell r="G28">
            <v>0</v>
          </cell>
          <cell r="H28">
            <v>0</v>
          </cell>
        </row>
        <row r="29">
          <cell r="A29" t="str">
            <v>FORTALECIMIENTO DEL CONTROL Y VIGILANCIA DE LA REGLAMENTACIÓN TÉCNICA, METROLÓGICA, DE HIDROCARBUROS Y PRECIOS EN EL TERRITORIO NACIONAL</v>
          </cell>
          <cell r="B29">
            <v>4281545000</v>
          </cell>
          <cell r="C29">
            <v>4281545000</v>
          </cell>
          <cell r="D29">
            <v>3583103799</v>
          </cell>
          <cell r="E29">
            <v>2097461105</v>
          </cell>
          <cell r="F29">
            <v>0</v>
          </cell>
          <cell r="G29">
            <v>0</v>
          </cell>
          <cell r="H29">
            <v>0</v>
          </cell>
        </row>
        <row r="30">
          <cell r="A30" t="str">
            <v>FORTALECIMIENTO DEL ESQUEMA DE CONTROL, VIGILANCIA Y DIVULGACIÓN DE LOS DERECHOS DEL CONSUMIDOR A NIVEL NACIONAL</v>
          </cell>
          <cell r="B30">
            <v>2249711250</v>
          </cell>
          <cell r="C30">
            <v>2249711250</v>
          </cell>
          <cell r="D30">
            <v>2127755000</v>
          </cell>
          <cell r="E30">
            <v>565305000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IMPLEMENTACIÓN Y FORTALECIMIENTO DE LA SUPERVISIÓN A LA ACTIVIDAD DE ADMINISTRACIÓN DE DATOS PERSONALES EN EL ÁMBITO NACIONAL</v>
          </cell>
          <cell r="B31">
            <v>1079000000</v>
          </cell>
          <cell r="C31">
            <v>1079000000</v>
          </cell>
          <cell r="D31">
            <v>1050284200</v>
          </cell>
          <cell r="E31">
            <v>765054128</v>
          </cell>
          <cell r="F31">
            <v>73211</v>
          </cell>
          <cell r="G31">
            <v>73211</v>
          </cell>
          <cell r="H31">
            <v>0</v>
          </cell>
        </row>
        <row r="32">
          <cell r="A32" t="str">
            <v>INCREMENTO DEL USO DEL SISTEMA DE PROPIEDAD INDUSTRIAL Y DE LA EFICIENCIA Y CALIDAD EN LOS PROCESOS DE LOS TRÁMITES Y SERVICIOS DE PROPIEDAD INDUSTRIAL A NIVEL NACIONAL</v>
          </cell>
          <cell r="B32">
            <v>5885923000</v>
          </cell>
          <cell r="C32">
            <v>5885923000</v>
          </cell>
          <cell r="D32">
            <v>5526342600</v>
          </cell>
          <cell r="E32">
            <v>2526373430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3599</v>
          </cell>
          <cell r="B33">
            <v>39190430750</v>
          </cell>
          <cell r="C33">
            <v>39190430750</v>
          </cell>
          <cell r="D33">
            <v>24616496434.82</v>
          </cell>
          <cell r="E33">
            <v>21092989317.82</v>
          </cell>
          <cell r="F33">
            <v>73211</v>
          </cell>
          <cell r="G33">
            <v>73211</v>
          </cell>
          <cell r="H33">
            <v>0</v>
          </cell>
        </row>
        <row r="34">
          <cell r="A34" t="str">
            <v>ADECUACION,DOTACION Y MANTENIMIENTO SEDE SIC.</v>
          </cell>
          <cell r="B34">
            <v>515000000</v>
          </cell>
          <cell r="C34">
            <v>515000000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FORTALECIMIENTO RENOVACIÓN Y MANTENIMIENTO DE LAS TECNOLOGÍAS DE INFORMACIÓN Y DE LAS COMUNICACIONES DE LA SIC A NIVEL NACIONAL</v>
          </cell>
          <cell r="B35">
            <v>20812841917</v>
          </cell>
          <cell r="C35">
            <v>20812841917</v>
          </cell>
          <cell r="D35">
            <v>11246410007.82</v>
          </cell>
          <cell r="E35">
            <v>10212710479.82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FORTALECIMIENTO Y MODERNIZACIÓN DEL SISTEMA DE ATENCIÓN AL CIUDADANO DE LA SIC A NIVEL NACIONAL</v>
          </cell>
          <cell r="B36">
            <v>17862588833</v>
          </cell>
          <cell r="C36">
            <v>17862588833</v>
          </cell>
          <cell r="D36">
            <v>13370086427</v>
          </cell>
          <cell r="E36">
            <v>10880278838</v>
          </cell>
          <cell r="F36">
            <v>73211</v>
          </cell>
          <cell r="G36">
            <v>73211</v>
          </cell>
          <cell r="H36">
            <v>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45.140625" style="5" customWidth="1"/>
    <col min="2" max="2" width="24.5703125" style="32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4" bestFit="1" customWidth="1"/>
    <col min="7" max="7" width="16.7109375" style="5" bestFit="1" customWidth="1"/>
    <col min="8" max="8" width="23.28515625" style="34" bestFit="1" customWidth="1"/>
    <col min="9" max="9" width="20.5703125" style="34" bestFit="1" customWidth="1"/>
    <col min="10" max="10" width="21.85546875" style="34" customWidth="1"/>
    <col min="11" max="11" width="11.7109375" style="35" bestFit="1" customWidth="1"/>
    <col min="12" max="12" width="23.28515625" style="34" bestFit="1" customWidth="1"/>
    <col min="13" max="13" width="22.42578125" style="35" customWidth="1"/>
    <col min="14" max="14" width="23.28515625" style="34" bestFit="1" customWidth="1"/>
    <col min="15" max="15" width="13.85546875" style="35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2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3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2" t="s">
        <v>10</v>
      </c>
      <c r="H7" s="10" t="s">
        <v>11</v>
      </c>
      <c r="I7" s="10" t="s">
        <v>12</v>
      </c>
      <c r="J7" s="13" t="s">
        <v>13</v>
      </c>
      <c r="K7" s="14" t="s">
        <v>14</v>
      </c>
      <c r="L7" s="13" t="s">
        <v>15</v>
      </c>
      <c r="M7" s="14" t="s">
        <v>16</v>
      </c>
      <c r="N7" s="13" t="s">
        <v>17</v>
      </c>
      <c r="O7" s="14" t="s">
        <v>18</v>
      </c>
    </row>
    <row r="8" spans="1:15" s="18" customFormat="1" ht="15.75" x14ac:dyDescent="0.25">
      <c r="A8" s="15" t="s">
        <v>19</v>
      </c>
      <c r="B8" s="16">
        <f>B9+B17+B20</f>
        <v>70078883333</v>
      </c>
      <c r="C8" s="16">
        <f t="shared" ref="C8:F8" si="0">C9+C17+C20</f>
        <v>70078883333</v>
      </c>
      <c r="D8" s="16">
        <f t="shared" si="0"/>
        <v>9819332427.5500011</v>
      </c>
      <c r="E8" s="17">
        <f t="shared" ref="E8:E9" si="1">+D8/C8</f>
        <v>0.1401182775828578</v>
      </c>
      <c r="F8" s="16">
        <f t="shared" si="0"/>
        <v>2697902687.1700001</v>
      </c>
      <c r="G8" s="17">
        <f t="shared" ref="G8:G9" si="2">+F8/C8</f>
        <v>3.8498083286375134E-2</v>
      </c>
      <c r="H8" s="16">
        <f t="shared" ref="H8:N8" si="3">H9+H17+H20</f>
        <v>62003210887</v>
      </c>
      <c r="I8" s="16">
        <f t="shared" si="3"/>
        <v>2685735041.1700001</v>
      </c>
      <c r="J8" s="16">
        <f t="shared" si="3"/>
        <v>8075672446</v>
      </c>
      <c r="K8" s="17">
        <f t="shared" ref="K8:K9" si="4">+J8/C8</f>
        <v>0.11523688823102554</v>
      </c>
      <c r="L8" s="16">
        <f t="shared" si="3"/>
        <v>60259550905.450005</v>
      </c>
      <c r="M8" s="17">
        <f t="shared" ref="M8:M9" si="5">+L8/C8</f>
        <v>0.85988172241714222</v>
      </c>
      <c r="N8" s="16">
        <f t="shared" si="3"/>
        <v>67380980645.830002</v>
      </c>
      <c r="O8" s="17">
        <f t="shared" ref="O8:O9" si="6">+N8/C8</f>
        <v>0.96150191671362495</v>
      </c>
    </row>
    <row r="9" spans="1:15" s="18" customFormat="1" ht="15.75" x14ac:dyDescent="0.25">
      <c r="A9" s="19" t="s">
        <v>20</v>
      </c>
      <c r="B9" s="20">
        <f>SUM(B10:B16)</f>
        <v>54004933333</v>
      </c>
      <c r="C9" s="20">
        <f t="shared" ref="C9:F9" si="7">SUM(C10:C16)</f>
        <v>54004933333</v>
      </c>
      <c r="D9" s="20">
        <f t="shared" si="7"/>
        <v>2653537929</v>
      </c>
      <c r="E9" s="21">
        <f t="shared" si="1"/>
        <v>4.9135102392183522E-2</v>
      </c>
      <c r="F9" s="20">
        <f t="shared" si="7"/>
        <v>2394760439</v>
      </c>
      <c r="G9" s="21">
        <f t="shared" si="2"/>
        <v>4.4343364415129628E-2</v>
      </c>
      <c r="H9" s="20">
        <f t="shared" ref="H9:N9" si="8">SUM(H10:H16)</f>
        <v>50764831506</v>
      </c>
      <c r="I9" s="20">
        <f t="shared" si="8"/>
        <v>2394760439</v>
      </c>
      <c r="J9" s="20">
        <f t="shared" si="8"/>
        <v>3240101827</v>
      </c>
      <c r="K9" s="21">
        <f t="shared" si="4"/>
        <v>5.9996404532548855E-2</v>
      </c>
      <c r="L9" s="20">
        <f t="shared" si="8"/>
        <v>51351395404</v>
      </c>
      <c r="M9" s="21">
        <f t="shared" si="5"/>
        <v>0.95086489760781645</v>
      </c>
      <c r="N9" s="20">
        <f t="shared" si="8"/>
        <v>51610172894</v>
      </c>
      <c r="O9" s="21">
        <f t="shared" si="6"/>
        <v>0.95565663558487035</v>
      </c>
    </row>
    <row r="10" spans="1:15" x14ac:dyDescent="0.25">
      <c r="A10" s="22" t="s">
        <v>21</v>
      </c>
      <c r="B10" s="23">
        <f>VLOOKUP(A10,'[1]TD-EPA'!$A$5:$H$36,2,0)</f>
        <v>15812000000</v>
      </c>
      <c r="C10" s="24">
        <f>VLOOKUP(A10,'[1]TD-EPA'!$A$5:$H$36,3,0)</f>
        <v>15812000000</v>
      </c>
      <c r="D10" s="24">
        <f>VLOOKUP(A10,'[1]TD-EPA'!$A$5:$H$36,5,0)</f>
        <v>1192403515</v>
      </c>
      <c r="E10" s="25">
        <f>+D10/C10</f>
        <v>7.5411302491778395E-2</v>
      </c>
      <c r="F10" s="23">
        <f>VLOOKUP(A10,'[1]TD-EPA'!$A$5:$H$36,6,0)</f>
        <v>1192403515</v>
      </c>
      <c r="G10" s="25">
        <f>+F10/C10</f>
        <v>7.5411302491778395E-2</v>
      </c>
      <c r="H10" s="23">
        <f>VLOOKUP(A10,'[1]TD-EPA'!$A$5:$H$36,4,0)</f>
        <v>15772000000</v>
      </c>
      <c r="I10" s="23">
        <f>VLOOKUP(A10,'[1]TD-EPA'!$A$5:$H$36,7,0)</f>
        <v>1192403515</v>
      </c>
      <c r="J10" s="23">
        <f>+C10-H10</f>
        <v>40000000</v>
      </c>
      <c r="K10" s="25">
        <f>+J10/C10</f>
        <v>2.5297242600556538E-3</v>
      </c>
      <c r="L10" s="23">
        <f>+C10-D10</f>
        <v>14619596485</v>
      </c>
      <c r="M10" s="25">
        <f>+L10/C10</f>
        <v>0.92458869750822159</v>
      </c>
      <c r="N10" s="23">
        <f>+C10-F10</f>
        <v>14619596485</v>
      </c>
      <c r="O10" s="25">
        <f>+N10/C10</f>
        <v>0.92458869750822159</v>
      </c>
    </row>
    <row r="11" spans="1:15" x14ac:dyDescent="0.25">
      <c r="A11" s="22" t="s">
        <v>22</v>
      </c>
      <c r="B11" s="23">
        <f>VLOOKUP(A11,'[1]TD-EPA'!$A$5:$H$36,2,0)</f>
        <v>883000000</v>
      </c>
      <c r="C11" s="24">
        <f>VLOOKUP(A11,'[1]TD-EPA'!$A$5:$H$36,3,0)</f>
        <v>883000000</v>
      </c>
      <c r="D11" s="24">
        <f>VLOOKUP(A11,'[1]TD-EPA'!$A$5:$H$36,5,0)</f>
        <v>71608212</v>
      </c>
      <c r="E11" s="25">
        <f t="shared" ref="E11:E39" si="9">D11/C11</f>
        <v>8.1096502831257078E-2</v>
      </c>
      <c r="F11" s="23">
        <f>VLOOKUP(A11,'[1]TD-EPA'!$A$5:$H$36,6,0)</f>
        <v>71608212</v>
      </c>
      <c r="G11" s="25">
        <f t="shared" ref="G11:G39" si="10">+F11/C11</f>
        <v>8.1096502831257078E-2</v>
      </c>
      <c r="H11" s="23">
        <f>VLOOKUP(A11,'[1]TD-EPA'!$A$5:$H$36,4,0)</f>
        <v>883000000</v>
      </c>
      <c r="I11" s="23">
        <f>VLOOKUP(A11,'[1]TD-EPA'!$A$5:$H$36,7,0)</f>
        <v>71608212</v>
      </c>
      <c r="J11" s="23">
        <f t="shared" ref="J11:J38" si="11">+C11-H11</f>
        <v>0</v>
      </c>
      <c r="K11" s="25">
        <f t="shared" ref="K11:K39" si="12">+J11/C11</f>
        <v>0</v>
      </c>
      <c r="L11" s="23">
        <f t="shared" ref="L11:L38" si="13">+C11-D11</f>
        <v>811391788</v>
      </c>
      <c r="M11" s="25">
        <f>+L11/C11</f>
        <v>0.91890349716874287</v>
      </c>
      <c r="N11" s="23">
        <f t="shared" ref="N11:N38" si="14">+C11-F11</f>
        <v>811391788</v>
      </c>
      <c r="O11" s="25">
        <f t="shared" ref="O11:O39" si="15">+N11/C11</f>
        <v>0.91890349716874287</v>
      </c>
    </row>
    <row r="12" spans="1:15" x14ac:dyDescent="0.25">
      <c r="A12" s="22" t="s">
        <v>23</v>
      </c>
      <c r="B12" s="23">
        <f>VLOOKUP(A12,'[1]TD-EPA'!$A$5:$H$36,2,0)</f>
        <v>23087000000</v>
      </c>
      <c r="C12" s="24">
        <f>VLOOKUP(A12,'[1]TD-EPA'!$A$5:$H$36,3,0)</f>
        <v>23087000000</v>
      </c>
      <c r="D12" s="24">
        <f>VLOOKUP(A12,'[1]TD-EPA'!$A$5:$H$36,5,0)</f>
        <v>1077168834</v>
      </c>
      <c r="E12" s="25">
        <f t="shared" si="9"/>
        <v>4.6656942608394335E-2</v>
      </c>
      <c r="F12" s="23">
        <f>VLOOKUP(A12,'[1]TD-EPA'!$A$5:$H$36,6,0)</f>
        <v>1077168834</v>
      </c>
      <c r="G12" s="25">
        <f t="shared" si="10"/>
        <v>4.6656942608394335E-2</v>
      </c>
      <c r="H12" s="23">
        <f>VLOOKUP(A12,'[1]TD-EPA'!$A$5:$H$36,4,0)</f>
        <v>23087000000</v>
      </c>
      <c r="I12" s="23">
        <f>VLOOKUP(A12,'[1]TD-EPA'!$A$5:$H$36,7,0)</f>
        <v>1077168834</v>
      </c>
      <c r="J12" s="23">
        <f t="shared" si="11"/>
        <v>0</v>
      </c>
      <c r="K12" s="25">
        <f t="shared" si="12"/>
        <v>0</v>
      </c>
      <c r="L12" s="23">
        <f t="shared" si="13"/>
        <v>22009831166</v>
      </c>
      <c r="M12" s="25">
        <f t="shared" ref="M12:M39" si="16">+L12/C12</f>
        <v>0.95334305739160563</v>
      </c>
      <c r="N12" s="23">
        <f t="shared" si="14"/>
        <v>22009831166</v>
      </c>
      <c r="O12" s="25">
        <f t="shared" si="15"/>
        <v>0.95334305739160563</v>
      </c>
    </row>
    <row r="13" spans="1:15" ht="28.5" x14ac:dyDescent="0.25">
      <c r="A13" s="22" t="s">
        <v>24</v>
      </c>
      <c r="B13" s="23">
        <f>VLOOKUP(A13,'[1]TD-EPA'!$A$5:$H$36,2,0)</f>
        <v>334000000</v>
      </c>
      <c r="C13" s="24">
        <f>VLOOKUP(A13,'[1]TD-EPA'!$A$5:$H$36,3,0)</f>
        <v>334000000</v>
      </c>
      <c r="D13" s="24">
        <f>VLOOKUP(A13,'[1]TD-EPA'!$A$5:$H$36,5,0)</f>
        <v>0</v>
      </c>
      <c r="E13" s="25">
        <f t="shared" si="9"/>
        <v>0</v>
      </c>
      <c r="F13" s="23">
        <f>VLOOKUP(A13,'[1]TD-EPA'!$A$5:$H$36,6,0)</f>
        <v>0</v>
      </c>
      <c r="G13" s="25">
        <f t="shared" si="10"/>
        <v>0</v>
      </c>
      <c r="H13" s="23">
        <f>VLOOKUP(A13,'[1]TD-EPA'!$A$5:$H$36,4,0)</f>
        <v>334000000</v>
      </c>
      <c r="I13" s="23">
        <f>VLOOKUP(A13,'[1]TD-EPA'!$A$5:$H$36,7,0)</f>
        <v>0</v>
      </c>
      <c r="J13" s="23">
        <f t="shared" si="11"/>
        <v>0</v>
      </c>
      <c r="K13" s="25">
        <f t="shared" si="12"/>
        <v>0</v>
      </c>
      <c r="L13" s="23">
        <f t="shared" si="13"/>
        <v>334000000</v>
      </c>
      <c r="M13" s="25">
        <f t="shared" si="16"/>
        <v>1</v>
      </c>
      <c r="N13" s="23">
        <f t="shared" si="14"/>
        <v>334000000</v>
      </c>
      <c r="O13" s="25">
        <f t="shared" si="15"/>
        <v>1</v>
      </c>
    </row>
    <row r="14" spans="1:15" ht="28.5" x14ac:dyDescent="0.25">
      <c r="A14" s="22" t="s">
        <v>25</v>
      </c>
      <c r="B14" s="23">
        <f>VLOOKUP(A14,'[1]TD-EPA'!$A$5:$H$36,2,0)</f>
        <v>3100000000</v>
      </c>
      <c r="C14" s="24">
        <f>VLOOKUP(A14,'[1]TD-EPA'!$A$5:$H$36,3,0)</f>
        <v>3100000000</v>
      </c>
      <c r="D14" s="24">
        <f>VLOOKUP(A14,'[1]TD-EPA'!$A$5:$H$36,5,0)</f>
        <v>0</v>
      </c>
      <c r="E14" s="25">
        <f t="shared" si="9"/>
        <v>0</v>
      </c>
      <c r="F14" s="23">
        <f>VLOOKUP(A14,'[1]TD-EPA'!$A$5:$H$36,6,0)</f>
        <v>0</v>
      </c>
      <c r="G14" s="25">
        <f t="shared" si="10"/>
        <v>0</v>
      </c>
      <c r="H14" s="23">
        <f>VLOOKUP(A14,'[1]TD-EPA'!$A$5:$H$36,4,0)</f>
        <v>0</v>
      </c>
      <c r="I14" s="23">
        <f>VLOOKUP(A14,'[1]TD-EPA'!$A$5:$H$36,7,0)</f>
        <v>0</v>
      </c>
      <c r="J14" s="23">
        <f t="shared" si="11"/>
        <v>3100000000</v>
      </c>
      <c r="K14" s="25">
        <f t="shared" si="12"/>
        <v>1</v>
      </c>
      <c r="L14" s="23">
        <f t="shared" si="13"/>
        <v>3100000000</v>
      </c>
      <c r="M14" s="25">
        <f t="shared" si="16"/>
        <v>1</v>
      </c>
      <c r="N14" s="23">
        <f t="shared" si="14"/>
        <v>3100000000</v>
      </c>
      <c r="O14" s="25">
        <f t="shared" si="15"/>
        <v>1</v>
      </c>
    </row>
    <row r="15" spans="1:15" x14ac:dyDescent="0.25">
      <c r="A15" s="22" t="s">
        <v>26</v>
      </c>
      <c r="B15" s="23">
        <f>VLOOKUP(A15,'[1]TD-EPA'!$A$5:$H$36,2,0)</f>
        <v>463600000</v>
      </c>
      <c r="C15" s="24">
        <f>VLOOKUP(A15,'[1]TD-EPA'!$A$5:$H$36,3,0)</f>
        <v>463600000</v>
      </c>
      <c r="D15" s="24">
        <f>VLOOKUP(A15,'[1]TD-EPA'!$A$5:$H$36,5,0)</f>
        <v>258777490</v>
      </c>
      <c r="E15" s="25">
        <f t="shared" si="9"/>
        <v>0.55819130716134602</v>
      </c>
      <c r="F15" s="23">
        <f>VLOOKUP(A15,'[1]TD-EPA'!$A$5:$H$36,6,0)</f>
        <v>0</v>
      </c>
      <c r="G15" s="25">
        <f t="shared" si="10"/>
        <v>0</v>
      </c>
      <c r="H15" s="23">
        <f>VLOOKUP(A15,'[1]TD-EPA'!$A$5:$H$36,4,0)</f>
        <v>404799506</v>
      </c>
      <c r="I15" s="23">
        <f>VLOOKUP(A15,'[1]TD-EPA'!$A$5:$H$36,7,0)</f>
        <v>0</v>
      </c>
      <c r="J15" s="23">
        <f t="shared" si="11"/>
        <v>58800494</v>
      </c>
      <c r="K15" s="25">
        <f t="shared" si="12"/>
        <v>0.12683454270923208</v>
      </c>
      <c r="L15" s="23">
        <f t="shared" si="13"/>
        <v>204822510</v>
      </c>
      <c r="M15" s="25">
        <f t="shared" si="16"/>
        <v>0.44180869283865404</v>
      </c>
      <c r="N15" s="23">
        <f t="shared" si="14"/>
        <v>463600000</v>
      </c>
      <c r="O15" s="25">
        <f t="shared" si="15"/>
        <v>1</v>
      </c>
    </row>
    <row r="16" spans="1:15" ht="43.5" customHeight="1" x14ac:dyDescent="0.25">
      <c r="A16" s="22" t="s">
        <v>27</v>
      </c>
      <c r="B16" s="23">
        <f>VLOOKUP(A16,'[1]TD-EPA'!$A$5:$H$36,2,0)</f>
        <v>10325333333</v>
      </c>
      <c r="C16" s="24">
        <f>VLOOKUP(A16,'[1]TD-EPA'!$A$5:$H$36,3,0)</f>
        <v>10325333333</v>
      </c>
      <c r="D16" s="24">
        <f>VLOOKUP(A16,'[1]TD-EPA'!$A$5:$H$36,5,0)</f>
        <v>53579878</v>
      </c>
      <c r="E16" s="25">
        <f t="shared" si="9"/>
        <v>5.1891669035766131E-3</v>
      </c>
      <c r="F16" s="23">
        <f>VLOOKUP(A16,'[1]TD-EPA'!$A$5:$H$36,6,0)</f>
        <v>53579878</v>
      </c>
      <c r="G16" s="25">
        <f t="shared" si="10"/>
        <v>5.1891669035766131E-3</v>
      </c>
      <c r="H16" s="23">
        <f>VLOOKUP(A16,'[1]TD-EPA'!$A$5:$H$36,4,0)</f>
        <v>10284032000</v>
      </c>
      <c r="I16" s="23">
        <f>VLOOKUP(A16,'[1]TD-EPA'!$A$5:$H$36,7,0)</f>
        <v>53579878</v>
      </c>
      <c r="J16" s="23">
        <f t="shared" si="11"/>
        <v>41301333</v>
      </c>
      <c r="K16" s="25">
        <f t="shared" si="12"/>
        <v>3.9999999678460747E-3</v>
      </c>
      <c r="L16" s="23">
        <f t="shared" si="13"/>
        <v>10271753455</v>
      </c>
      <c r="M16" s="25">
        <f t="shared" si="16"/>
        <v>0.99481083309642337</v>
      </c>
      <c r="N16" s="23">
        <f t="shared" si="14"/>
        <v>10271753455</v>
      </c>
      <c r="O16" s="25">
        <f t="shared" si="15"/>
        <v>0.99481083309642337</v>
      </c>
    </row>
    <row r="17" spans="1:15" s="18" customFormat="1" ht="15" customHeight="1" x14ac:dyDescent="0.25">
      <c r="A17" s="19" t="s">
        <v>28</v>
      </c>
      <c r="B17" s="20">
        <f>SUM(B18:B19)</f>
        <v>10709950000</v>
      </c>
      <c r="C17" s="20">
        <f t="shared" ref="C17:F17" si="17">SUM(C18:C19)</f>
        <v>10709950000</v>
      </c>
      <c r="D17" s="20">
        <f t="shared" si="17"/>
        <v>6913294195.3800001</v>
      </c>
      <c r="E17" s="21">
        <f t="shared" si="9"/>
        <v>0.64550200471337404</v>
      </c>
      <c r="F17" s="20">
        <f t="shared" si="17"/>
        <v>222660540</v>
      </c>
      <c r="G17" s="21">
        <f t="shared" si="10"/>
        <v>2.0790063445674349E-2</v>
      </c>
      <c r="H17" s="20">
        <f t="shared" ref="H17:N17" si="18">SUM(H18:H19)</f>
        <v>10090004243</v>
      </c>
      <c r="I17" s="20">
        <f t="shared" si="18"/>
        <v>215149359</v>
      </c>
      <c r="J17" s="20">
        <f t="shared" si="18"/>
        <v>619945757</v>
      </c>
      <c r="K17" s="21">
        <f t="shared" si="12"/>
        <v>5.7885028128049153E-2</v>
      </c>
      <c r="L17" s="20">
        <f t="shared" si="18"/>
        <v>3796655804.6199999</v>
      </c>
      <c r="M17" s="21">
        <f t="shared" si="16"/>
        <v>0.35449799528662596</v>
      </c>
      <c r="N17" s="20">
        <f t="shared" si="18"/>
        <v>10487289460</v>
      </c>
      <c r="O17" s="21">
        <f t="shared" si="15"/>
        <v>0.97920993655432564</v>
      </c>
    </row>
    <row r="18" spans="1:15" x14ac:dyDescent="0.25">
      <c r="A18" s="22" t="s">
        <v>29</v>
      </c>
      <c r="B18" s="23">
        <f>VLOOKUP(A18,'[1]TD-EPA'!$A$5:$H$36,2,0)</f>
        <v>50000000</v>
      </c>
      <c r="C18" s="24">
        <f>VLOOKUP(A18,'[1]TD-EPA'!$A$5:$H$36,3,0)</f>
        <v>50000000</v>
      </c>
      <c r="D18" s="24">
        <f>VLOOKUP(A18,'[1]TD-EPA'!$A$5:$H$36,5,0)</f>
        <v>0</v>
      </c>
      <c r="E18" s="25">
        <f t="shared" si="9"/>
        <v>0</v>
      </c>
      <c r="F18" s="23">
        <f>VLOOKUP(A18,'[1]TD-EPA'!$A$5:$H$36,6,0)</f>
        <v>0</v>
      </c>
      <c r="G18" s="25">
        <f t="shared" si="10"/>
        <v>0</v>
      </c>
      <c r="H18" s="23">
        <f>VLOOKUP(A18,'[1]TD-EPA'!$A$5:$H$36,4,0)</f>
        <v>0</v>
      </c>
      <c r="I18" s="23">
        <f>VLOOKUP(A18,'[1]TD-EPA'!$A$5:$H$36,7,0)</f>
        <v>0</v>
      </c>
      <c r="J18" s="23">
        <f t="shared" si="11"/>
        <v>50000000</v>
      </c>
      <c r="K18" s="25">
        <f t="shared" si="12"/>
        <v>1</v>
      </c>
      <c r="L18" s="23">
        <f t="shared" si="13"/>
        <v>50000000</v>
      </c>
      <c r="M18" s="25">
        <f t="shared" si="16"/>
        <v>1</v>
      </c>
      <c r="N18" s="23">
        <f t="shared" si="14"/>
        <v>50000000</v>
      </c>
      <c r="O18" s="25">
        <f t="shared" si="15"/>
        <v>1</v>
      </c>
    </row>
    <row r="19" spans="1:15" x14ac:dyDescent="0.25">
      <c r="A19" s="22" t="s">
        <v>30</v>
      </c>
      <c r="B19" s="23">
        <f>VLOOKUP(A19,'[1]TD-EPA'!$A$5:$H$36,2,0)</f>
        <v>10659950000</v>
      </c>
      <c r="C19" s="24">
        <f>VLOOKUP(A19,'[1]TD-EPA'!$A$5:$H$36,3,0)</f>
        <v>10659950000</v>
      </c>
      <c r="D19" s="24">
        <f>VLOOKUP(A19,'[1]TD-EPA'!$A$5:$H$36,5,0)</f>
        <v>6913294195.3800001</v>
      </c>
      <c r="E19" s="25">
        <f t="shared" si="9"/>
        <v>0.64852970186351722</v>
      </c>
      <c r="F19" s="23">
        <f>VLOOKUP(A19,'[1]TD-EPA'!$A$5:$H$36,6,0)</f>
        <v>222660540</v>
      </c>
      <c r="G19" s="25">
        <f t="shared" si="10"/>
        <v>2.0887578271943114E-2</v>
      </c>
      <c r="H19" s="23">
        <f>VLOOKUP(A19,'[1]TD-EPA'!$A$5:$H$36,4,0)</f>
        <v>10090004243</v>
      </c>
      <c r="I19" s="23">
        <f>VLOOKUP(A19,'[1]TD-EPA'!$A$5:$H$36,7,0)</f>
        <v>215149359</v>
      </c>
      <c r="J19" s="23">
        <f t="shared" si="11"/>
        <v>569945757</v>
      </c>
      <c r="K19" s="25">
        <f t="shared" si="12"/>
        <v>5.3466081642033966E-2</v>
      </c>
      <c r="L19" s="23">
        <f t="shared" si="13"/>
        <v>3746655804.6199999</v>
      </c>
      <c r="M19" s="25">
        <f t="shared" si="16"/>
        <v>0.35147029813648278</v>
      </c>
      <c r="N19" s="23">
        <f t="shared" si="14"/>
        <v>10437289460</v>
      </c>
      <c r="O19" s="25">
        <f t="shared" si="15"/>
        <v>0.9791124217280569</v>
      </c>
    </row>
    <row r="20" spans="1:15" s="18" customFormat="1" ht="15.75" x14ac:dyDescent="0.25">
      <c r="A20" s="19" t="s">
        <v>31</v>
      </c>
      <c r="B20" s="20">
        <f>SUM(B21:B26)</f>
        <v>5364000000</v>
      </c>
      <c r="C20" s="20">
        <f>SUM(C21:C26)</f>
        <v>5364000000</v>
      </c>
      <c r="D20" s="20">
        <f>SUM(D21:D26)</f>
        <v>252500303.17000002</v>
      </c>
      <c r="E20" s="21">
        <f t="shared" si="9"/>
        <v>4.7073136310589118E-2</v>
      </c>
      <c r="F20" s="20">
        <f>SUM(F21:F26)</f>
        <v>80481708.170000002</v>
      </c>
      <c r="G20" s="21">
        <f t="shared" si="10"/>
        <v>1.5004047011558538E-2</v>
      </c>
      <c r="H20" s="20">
        <f>SUM(H21:H26)</f>
        <v>1148375138</v>
      </c>
      <c r="I20" s="20">
        <f>SUM(I21:I26)</f>
        <v>75825243.170000002</v>
      </c>
      <c r="J20" s="20">
        <f>SUM(J21:J26)</f>
        <v>4215624862</v>
      </c>
      <c r="K20" s="21">
        <f t="shared" si="12"/>
        <v>0.78591067524235647</v>
      </c>
      <c r="L20" s="20">
        <f>SUM(L21:L26)</f>
        <v>5111499696.8299999</v>
      </c>
      <c r="M20" s="21">
        <f t="shared" si="16"/>
        <v>0.95292686368941082</v>
      </c>
      <c r="N20" s="20">
        <f>SUM(N21:N26)</f>
        <v>5283518291.8299999</v>
      </c>
      <c r="O20" s="21">
        <f t="shared" si="15"/>
        <v>0.98499595298844145</v>
      </c>
    </row>
    <row r="21" spans="1:15" x14ac:dyDescent="0.25">
      <c r="A21" s="22" t="s">
        <v>32</v>
      </c>
      <c r="B21" s="23">
        <f>VLOOKUP(A21,'[1]TD-EPA'!$A$5:$H$36,2,0)</f>
        <v>177000000</v>
      </c>
      <c r="C21" s="24">
        <f>VLOOKUP(A21,'[1]TD-EPA'!$A$5:$H$36,3,0)</f>
        <v>177000000</v>
      </c>
      <c r="D21" s="24">
        <f>VLOOKUP(A21,'[1]TD-EPA'!$A$5:$H$36,5,0)</f>
        <v>0</v>
      </c>
      <c r="E21" s="25">
        <f t="shared" si="9"/>
        <v>0</v>
      </c>
      <c r="F21" s="23">
        <f>VLOOKUP(A21,'[1]TD-EPA'!$A$5:$H$36,6,0)</f>
        <v>0</v>
      </c>
      <c r="G21" s="25">
        <f t="shared" si="10"/>
        <v>0</v>
      </c>
      <c r="H21" s="23">
        <f>VLOOKUP(A21,'[1]TD-EPA'!$A$5:$H$36,4,0)</f>
        <v>0</v>
      </c>
      <c r="I21" s="23">
        <f>VLOOKUP(A21,'[1]TD-EPA'!$A$5:$H$36,7,0)</f>
        <v>0</v>
      </c>
      <c r="J21" s="23">
        <f t="shared" si="11"/>
        <v>177000000</v>
      </c>
      <c r="K21" s="25">
        <f t="shared" si="12"/>
        <v>1</v>
      </c>
      <c r="L21" s="23">
        <f t="shared" si="13"/>
        <v>177000000</v>
      </c>
      <c r="M21" s="25">
        <f t="shared" si="16"/>
        <v>1</v>
      </c>
      <c r="N21" s="23">
        <f t="shared" si="14"/>
        <v>177000000</v>
      </c>
      <c r="O21" s="25">
        <f t="shared" si="15"/>
        <v>1</v>
      </c>
    </row>
    <row r="22" spans="1:15" ht="42.75" x14ac:dyDescent="0.25">
      <c r="A22" s="22" t="s">
        <v>33</v>
      </c>
      <c r="B22" s="23">
        <f>VLOOKUP(A22,'[1]TD-EPA'!$A$5:$H$36,2,0)</f>
        <v>66000000</v>
      </c>
      <c r="C22" s="24">
        <f>VLOOKUP(A22,'[1]TD-EPA'!$A$5:$H$36,3,0)</f>
        <v>66000000</v>
      </c>
      <c r="D22" s="24">
        <f>VLOOKUP(A22,'[1]TD-EPA'!$A$5:$H$36,5,0)</f>
        <v>0</v>
      </c>
      <c r="E22" s="25">
        <f t="shared" si="9"/>
        <v>0</v>
      </c>
      <c r="F22" s="23">
        <f>VLOOKUP(A22,'[1]TD-EPA'!$A$5:$H$36,6,0)</f>
        <v>0</v>
      </c>
      <c r="G22" s="25">
        <f t="shared" si="10"/>
        <v>0</v>
      </c>
      <c r="H22" s="23">
        <f>VLOOKUP(A22,'[1]TD-EPA'!$A$5:$H$36,4,0)</f>
        <v>0</v>
      </c>
      <c r="I22" s="23">
        <f>VLOOKUP(A22,'[1]TD-EPA'!$A$5:$H$36,7,0)</f>
        <v>0</v>
      </c>
      <c r="J22" s="23">
        <f t="shared" si="11"/>
        <v>66000000</v>
      </c>
      <c r="K22" s="25">
        <f t="shared" si="12"/>
        <v>1</v>
      </c>
      <c r="L22" s="23">
        <f t="shared" si="13"/>
        <v>66000000</v>
      </c>
      <c r="M22" s="25">
        <f t="shared" si="16"/>
        <v>1</v>
      </c>
      <c r="N22" s="23">
        <f t="shared" si="14"/>
        <v>66000000</v>
      </c>
      <c r="O22" s="25">
        <f t="shared" si="15"/>
        <v>1</v>
      </c>
    </row>
    <row r="23" spans="1:15" ht="42.75" x14ac:dyDescent="0.25">
      <c r="A23" s="22" t="s">
        <v>34</v>
      </c>
      <c r="B23" s="23">
        <f>VLOOKUP(A23,'[1]TD-EPA'!$A$5:$H$36,2,0)</f>
        <v>162000000</v>
      </c>
      <c r="C23" s="24">
        <f>VLOOKUP(A23,'[1]TD-EPA'!$A$5:$H$36,3,0)</f>
        <v>162000000</v>
      </c>
      <c r="D23" s="24">
        <f>VLOOKUP(A23,'[1]TD-EPA'!$A$5:$H$36,5,0)</f>
        <v>0</v>
      </c>
      <c r="E23" s="25">
        <f t="shared" si="9"/>
        <v>0</v>
      </c>
      <c r="F23" s="23">
        <f>VLOOKUP(A23,'[1]TD-EPA'!$A$5:$H$36,6,0)</f>
        <v>0</v>
      </c>
      <c r="G23" s="25">
        <f t="shared" si="10"/>
        <v>0</v>
      </c>
      <c r="H23" s="23">
        <f>VLOOKUP(A23,'[1]TD-EPA'!$A$5:$H$36,4,0)</f>
        <v>0</v>
      </c>
      <c r="I23" s="23">
        <f>VLOOKUP(A23,'[1]TD-EPA'!$A$5:$H$36,7,0)</f>
        <v>0</v>
      </c>
      <c r="J23" s="23">
        <f t="shared" si="11"/>
        <v>162000000</v>
      </c>
      <c r="K23" s="25">
        <f t="shared" si="12"/>
        <v>1</v>
      </c>
      <c r="L23" s="23">
        <f t="shared" si="13"/>
        <v>162000000</v>
      </c>
      <c r="M23" s="25">
        <f t="shared" si="16"/>
        <v>1</v>
      </c>
      <c r="N23" s="23">
        <f t="shared" si="14"/>
        <v>162000000</v>
      </c>
      <c r="O23" s="25">
        <f t="shared" si="15"/>
        <v>1</v>
      </c>
    </row>
    <row r="24" spans="1:15" x14ac:dyDescent="0.25">
      <c r="A24" s="22" t="s">
        <v>35</v>
      </c>
      <c r="B24" s="23">
        <f>VLOOKUP(A24,'[1]TD-EPA'!$A$5:$H$36,2,0)</f>
        <v>352000000</v>
      </c>
      <c r="C24" s="24">
        <f>VLOOKUP(A24,'[1]TD-EPA'!$A$5:$H$36,3,0)</f>
        <v>352000000</v>
      </c>
      <c r="D24" s="24">
        <f>VLOOKUP(A24,'[1]TD-EPA'!$A$5:$H$36,5,0)</f>
        <v>23472537.170000002</v>
      </c>
      <c r="E24" s="25">
        <f t="shared" si="9"/>
        <v>6.668334423295455E-2</v>
      </c>
      <c r="F24" s="23">
        <f>VLOOKUP(A24,'[1]TD-EPA'!$A$5:$H$36,6,0)</f>
        <v>23472537.170000002</v>
      </c>
      <c r="G24" s="25">
        <f t="shared" si="10"/>
        <v>6.668334423295455E-2</v>
      </c>
      <c r="H24" s="23">
        <f>VLOOKUP(A24,'[1]TD-EPA'!$A$5:$H$36,4,0)</f>
        <v>352000000</v>
      </c>
      <c r="I24" s="23">
        <f>VLOOKUP(A24,'[1]TD-EPA'!$A$5:$H$36,7,0)</f>
        <v>23472537.170000002</v>
      </c>
      <c r="J24" s="23">
        <f t="shared" si="11"/>
        <v>0</v>
      </c>
      <c r="K24" s="25">
        <f t="shared" si="12"/>
        <v>0</v>
      </c>
      <c r="L24" s="23">
        <f t="shared" si="13"/>
        <v>328527462.82999998</v>
      </c>
      <c r="M24" s="25">
        <f t="shared" si="16"/>
        <v>0.93331665576704537</v>
      </c>
      <c r="N24" s="23">
        <f t="shared" si="14"/>
        <v>328527462.82999998</v>
      </c>
      <c r="O24" s="25">
        <f t="shared" si="15"/>
        <v>0.93331665576704537</v>
      </c>
    </row>
    <row r="25" spans="1:15" ht="28.5" x14ac:dyDescent="0.25">
      <c r="A25" s="22" t="s">
        <v>36</v>
      </c>
      <c r="B25" s="23">
        <f>VLOOKUP(A25,'[1]TD-EPA'!$A$5:$H$36,2,0)</f>
        <v>607000000</v>
      </c>
      <c r="C25" s="24">
        <f>VLOOKUP(A25,'[1]TD-EPA'!$A$5:$H$36,3,0)</f>
        <v>607000000</v>
      </c>
      <c r="D25" s="24">
        <f>VLOOKUP(A25,'[1]TD-EPA'!$A$5:$H$36,5,0)</f>
        <v>52352706</v>
      </c>
      <c r="E25" s="25">
        <f t="shared" si="9"/>
        <v>8.6248280065897853E-2</v>
      </c>
      <c r="F25" s="23">
        <f>VLOOKUP(A25,'[1]TD-EPA'!$A$5:$H$36,6,0)</f>
        <v>52352706</v>
      </c>
      <c r="G25" s="25">
        <f t="shared" si="10"/>
        <v>8.6248280065897853E-2</v>
      </c>
      <c r="H25" s="23">
        <f>VLOOKUP(A25,'[1]TD-EPA'!$A$5:$H$36,4,0)</f>
        <v>607000000</v>
      </c>
      <c r="I25" s="23">
        <f>VLOOKUP(A25,'[1]TD-EPA'!$A$5:$H$36,7,0)</f>
        <v>52352706</v>
      </c>
      <c r="J25" s="23">
        <f t="shared" si="11"/>
        <v>0</v>
      </c>
      <c r="K25" s="25">
        <f t="shared" si="12"/>
        <v>0</v>
      </c>
      <c r="L25" s="23">
        <f t="shared" si="13"/>
        <v>554647294</v>
      </c>
      <c r="M25" s="25">
        <f t="shared" si="16"/>
        <v>0.91375171993410209</v>
      </c>
      <c r="N25" s="23">
        <f t="shared" si="14"/>
        <v>554647294</v>
      </c>
      <c r="O25" s="25">
        <f t="shared" si="15"/>
        <v>0.91375171993410209</v>
      </c>
    </row>
    <row r="26" spans="1:15" x14ac:dyDescent="0.25">
      <c r="A26" s="22" t="s">
        <v>37</v>
      </c>
      <c r="B26" s="23">
        <f>VLOOKUP(A26,'[1]TD-EPA'!$A$5:$H$36,2,0)</f>
        <v>4000000000</v>
      </c>
      <c r="C26" s="24">
        <f>VLOOKUP(A26,'[1]TD-EPA'!$A$5:$H$36,3,0)</f>
        <v>4000000000</v>
      </c>
      <c r="D26" s="24">
        <f>VLOOKUP(A26,'[1]TD-EPA'!$A$5:$H$36,5,0)</f>
        <v>176675060</v>
      </c>
      <c r="E26" s="25">
        <f t="shared" si="9"/>
        <v>4.4168764999999999E-2</v>
      </c>
      <c r="F26" s="23">
        <f>VLOOKUP(A26,'[1]TD-EPA'!$A$5:$H$36,6,0)</f>
        <v>4656465</v>
      </c>
      <c r="G26" s="25">
        <f t="shared" si="10"/>
        <v>1.1641162500000001E-3</v>
      </c>
      <c r="H26" s="23">
        <f>VLOOKUP(A26,'[1]TD-EPA'!$A$5:$H$36,4,0)</f>
        <v>189375138</v>
      </c>
      <c r="I26" s="23">
        <f>VLOOKUP(A26,'[1]TD-EPA'!$A$5:$H$36,7,0)</f>
        <v>0</v>
      </c>
      <c r="J26" s="23">
        <f t="shared" si="11"/>
        <v>3810624862</v>
      </c>
      <c r="K26" s="25">
        <f t="shared" si="12"/>
        <v>0.95265621550000001</v>
      </c>
      <c r="L26" s="23">
        <f t="shared" si="13"/>
        <v>3823324940</v>
      </c>
      <c r="M26" s="25">
        <f t="shared" si="16"/>
        <v>0.955831235</v>
      </c>
      <c r="N26" s="23">
        <f t="shared" si="14"/>
        <v>3995343535</v>
      </c>
      <c r="O26" s="25">
        <f t="shared" si="15"/>
        <v>0.99883588374999999</v>
      </c>
    </row>
    <row r="27" spans="1:15" s="18" customFormat="1" ht="15.75" customHeight="1" x14ac:dyDescent="0.25">
      <c r="A27" s="15" t="s">
        <v>38</v>
      </c>
      <c r="B27" s="16">
        <f>SUM(B28:B38)</f>
        <v>87360813320</v>
      </c>
      <c r="C27" s="16">
        <f t="shared" ref="C27:F27" si="19">SUM(C28:C38)</f>
        <v>87360813320</v>
      </c>
      <c r="D27" s="16">
        <f t="shared" si="19"/>
        <v>42267883925.82</v>
      </c>
      <c r="E27" s="17">
        <f t="shared" si="9"/>
        <v>0.48383116318977054</v>
      </c>
      <c r="F27" s="16">
        <f t="shared" si="19"/>
        <v>16978959</v>
      </c>
      <c r="G27" s="17">
        <f t="shared" si="10"/>
        <v>1.9435440622337833E-4</v>
      </c>
      <c r="H27" s="16">
        <f>SUM(H28:H38)</f>
        <v>60557155390.830002</v>
      </c>
      <c r="I27" s="16">
        <f t="shared" ref="I27:N27" si="20">SUM(I28:I38)</f>
        <v>16143638</v>
      </c>
      <c r="J27" s="16">
        <f t="shared" si="20"/>
        <v>26803657929.169998</v>
      </c>
      <c r="K27" s="17">
        <f t="shared" si="12"/>
        <v>0.30681557222903838</v>
      </c>
      <c r="L27" s="16">
        <f t="shared" si="20"/>
        <v>45092929394.18</v>
      </c>
      <c r="M27" s="17">
        <f t="shared" si="16"/>
        <v>0.51616883681022951</v>
      </c>
      <c r="N27" s="16">
        <f t="shared" si="20"/>
        <v>87343834361</v>
      </c>
      <c r="O27" s="17">
        <f t="shared" si="15"/>
        <v>0.9998056455937766</v>
      </c>
    </row>
    <row r="28" spans="1:15" ht="28.5" x14ac:dyDescent="0.25">
      <c r="A28" s="22" t="s">
        <v>39</v>
      </c>
      <c r="B28" s="23">
        <f>VLOOKUP(A28,'[1]TD-EPA'!$A$5:$H$36,2,0)</f>
        <v>515000000</v>
      </c>
      <c r="C28" s="24">
        <f>VLOOKUP(A28,'[1]TD-EPA'!$A$5:$H$36,3,0)</f>
        <v>515000000</v>
      </c>
      <c r="D28" s="24">
        <f>VLOOKUP(A28,'[1]TD-EPA'!$A$5:$H$36,5,0)</f>
        <v>0</v>
      </c>
      <c r="E28" s="25">
        <f t="shared" si="9"/>
        <v>0</v>
      </c>
      <c r="F28" s="23">
        <f>VLOOKUP(A28,'[1]TD-EPA'!$A$5:$H$36,6,0)</f>
        <v>0</v>
      </c>
      <c r="G28" s="25">
        <f t="shared" si="10"/>
        <v>0</v>
      </c>
      <c r="H28" s="23">
        <f>VLOOKUP(A28,'[1]TD-EPA'!$A$5:$H$36,4,0)</f>
        <v>0</v>
      </c>
      <c r="I28" s="23">
        <f>VLOOKUP(A28,'[1]TD-EPA'!$A$5:$H$36,7,0)</f>
        <v>0</v>
      </c>
      <c r="J28" s="23">
        <f t="shared" si="11"/>
        <v>515000000</v>
      </c>
      <c r="K28" s="25">
        <f t="shared" si="12"/>
        <v>1</v>
      </c>
      <c r="L28" s="23">
        <f t="shared" si="13"/>
        <v>515000000</v>
      </c>
      <c r="M28" s="25">
        <f t="shared" si="16"/>
        <v>1</v>
      </c>
      <c r="N28" s="23">
        <f t="shared" si="14"/>
        <v>515000000</v>
      </c>
      <c r="O28" s="25">
        <f t="shared" si="15"/>
        <v>1</v>
      </c>
    </row>
    <row r="29" spans="1:15" ht="57" x14ac:dyDescent="0.25">
      <c r="A29" s="22" t="s">
        <v>40</v>
      </c>
      <c r="B29" s="23">
        <f>VLOOKUP(A29,'[1]TD-EPA'!$A$5:$H$36,2,0)</f>
        <v>1079000000</v>
      </c>
      <c r="C29" s="24">
        <f>VLOOKUP(A29,'[1]TD-EPA'!$A$5:$H$36,3,0)</f>
        <v>1079000000</v>
      </c>
      <c r="D29" s="24">
        <f>VLOOKUP(A29,'[1]TD-EPA'!$A$5:$H$36,5,0)</f>
        <v>765054128</v>
      </c>
      <c r="E29" s="25">
        <f t="shared" si="9"/>
        <v>0.70903997034291011</v>
      </c>
      <c r="F29" s="23">
        <f>VLOOKUP(A29,'[1]TD-EPA'!$A$5:$H$36,6,0)</f>
        <v>73211</v>
      </c>
      <c r="G29" s="25">
        <f t="shared" si="10"/>
        <v>6.7850787766450416E-5</v>
      </c>
      <c r="H29" s="23">
        <f>VLOOKUP(A29,'[1]TD-EPA'!$A$5:$H$36,4,0)</f>
        <v>1050284200</v>
      </c>
      <c r="I29" s="23">
        <f>VLOOKUP(A29,'[1]TD-EPA'!$A$5:$H$36,7,0)</f>
        <v>73211</v>
      </c>
      <c r="J29" s="23">
        <f t="shared" si="11"/>
        <v>28715800</v>
      </c>
      <c r="K29" s="25">
        <f t="shared" si="12"/>
        <v>2.6613345690454124E-2</v>
      </c>
      <c r="L29" s="23">
        <f t="shared" si="13"/>
        <v>313945872</v>
      </c>
      <c r="M29" s="25">
        <f t="shared" si="16"/>
        <v>0.29096002965708989</v>
      </c>
      <c r="N29" s="23">
        <f t="shared" si="14"/>
        <v>1078926789</v>
      </c>
      <c r="O29" s="25">
        <f t="shared" si="15"/>
        <v>0.9999321492122335</v>
      </c>
    </row>
    <row r="30" spans="1:15" ht="57" x14ac:dyDescent="0.25">
      <c r="A30" s="22" t="s">
        <v>41</v>
      </c>
      <c r="B30" s="23">
        <f>VLOOKUP(A30,'[1]TD-EPA'!$A$5:$H$36,2,0)</f>
        <v>2249711250</v>
      </c>
      <c r="C30" s="24">
        <f>VLOOKUP(A30,'[1]TD-EPA'!$A$5:$H$36,3,0)</f>
        <v>2249711250</v>
      </c>
      <c r="D30" s="24">
        <f>VLOOKUP(A30,'[1]TD-EPA'!$A$5:$H$36,5,0)</f>
        <v>565305000</v>
      </c>
      <c r="E30" s="25">
        <f t="shared" si="9"/>
        <v>0.25127891412731301</v>
      </c>
      <c r="F30" s="23">
        <f>VLOOKUP(A30,'[1]TD-EPA'!$A$5:$H$36,6,0)</f>
        <v>0</v>
      </c>
      <c r="G30" s="25">
        <f t="shared" si="10"/>
        <v>0</v>
      </c>
      <c r="H30" s="23">
        <f>VLOOKUP(A30,'[1]TD-EPA'!$A$5:$H$36,4,0)</f>
        <v>2127755000</v>
      </c>
      <c r="I30" s="23">
        <f>VLOOKUP(A30,'[1]TD-EPA'!$A$5:$H$36,7,0)</f>
        <v>0</v>
      </c>
      <c r="J30" s="23">
        <f t="shared" si="11"/>
        <v>121956250</v>
      </c>
      <c r="K30" s="25">
        <f t="shared" si="12"/>
        <v>5.4209734693730138E-2</v>
      </c>
      <c r="L30" s="23">
        <f t="shared" si="13"/>
        <v>1684406250</v>
      </c>
      <c r="M30" s="25">
        <f t="shared" si="16"/>
        <v>0.74872108587268704</v>
      </c>
      <c r="N30" s="23">
        <f t="shared" si="14"/>
        <v>2249711250</v>
      </c>
      <c r="O30" s="25">
        <f t="shared" si="15"/>
        <v>1</v>
      </c>
    </row>
    <row r="31" spans="1:15" ht="71.25" x14ac:dyDescent="0.25">
      <c r="A31" s="22" t="s">
        <v>42</v>
      </c>
      <c r="B31" s="23">
        <f>VLOOKUP(A31,'[1]TD-EPA'!$A$5:$H$36,2,0)</f>
        <v>20812841917</v>
      </c>
      <c r="C31" s="24">
        <f>VLOOKUP(A31,'[1]TD-EPA'!$A$5:$H$36,3,0)</f>
        <v>20812841917</v>
      </c>
      <c r="D31" s="24">
        <f>VLOOKUP(A31,'[1]TD-EPA'!$A$5:$H$36,5,0)</f>
        <v>10212710479.82</v>
      </c>
      <c r="E31" s="25">
        <f t="shared" si="9"/>
        <v>0.49069274251673545</v>
      </c>
      <c r="F31" s="23">
        <f>VLOOKUP(A31,'[1]TD-EPA'!$A$5:$H$36,6,0)</f>
        <v>0</v>
      </c>
      <c r="G31" s="25">
        <f t="shared" si="10"/>
        <v>0</v>
      </c>
      <c r="H31" s="23">
        <f>VLOOKUP(A31,'[1]TD-EPA'!$A$5:$H$36,4,0)</f>
        <v>11246410007.82</v>
      </c>
      <c r="I31" s="23">
        <f>VLOOKUP(A31,'[1]TD-EPA'!$A$5:$H$36,7,0)</f>
        <v>0</v>
      </c>
      <c r="J31" s="23">
        <f t="shared" si="11"/>
        <v>9566431909.1800003</v>
      </c>
      <c r="K31" s="25">
        <f t="shared" si="12"/>
        <v>0.45964082883683971</v>
      </c>
      <c r="L31" s="23">
        <f t="shared" si="13"/>
        <v>10600131437.18</v>
      </c>
      <c r="M31" s="25">
        <f t="shared" si="16"/>
        <v>0.50930725748326455</v>
      </c>
      <c r="N31" s="23">
        <f t="shared" si="14"/>
        <v>20812841917</v>
      </c>
      <c r="O31" s="25">
        <f t="shared" si="15"/>
        <v>1</v>
      </c>
    </row>
    <row r="32" spans="1:15" ht="85.5" x14ac:dyDescent="0.25">
      <c r="A32" s="22" t="s">
        <v>43</v>
      </c>
      <c r="B32" s="23">
        <f>VLOOKUP(A32,'[1]TD-EPA'!$A$5:$H$36,2,0)</f>
        <v>5885923000</v>
      </c>
      <c r="C32" s="24">
        <f>VLOOKUP(A32,'[1]TD-EPA'!$A$5:$H$36,3,0)</f>
        <v>5885923000</v>
      </c>
      <c r="D32" s="24">
        <f>VLOOKUP(A32,'[1]TD-EPA'!$A$5:$H$36,5,0)</f>
        <v>2526373430</v>
      </c>
      <c r="E32" s="25">
        <f t="shared" si="9"/>
        <v>0.42922298337915737</v>
      </c>
      <c r="F32" s="23">
        <f>VLOOKUP(A32,'[1]TD-EPA'!$A$5:$H$36,6,0)</f>
        <v>0</v>
      </c>
      <c r="G32" s="25">
        <f t="shared" si="10"/>
        <v>0</v>
      </c>
      <c r="H32" s="23">
        <f>VLOOKUP(A32,'[1]TD-EPA'!$A$5:$H$36,4,0)</f>
        <v>5526342600</v>
      </c>
      <c r="I32" s="23">
        <f>VLOOKUP(A32,'[1]TD-EPA'!$A$5:$H$36,7,0)</f>
        <v>0</v>
      </c>
      <c r="J32" s="23">
        <f t="shared" si="11"/>
        <v>359580400</v>
      </c>
      <c r="K32" s="25">
        <f t="shared" si="12"/>
        <v>6.1091590902565322E-2</v>
      </c>
      <c r="L32" s="23">
        <f t="shared" si="13"/>
        <v>3359549570</v>
      </c>
      <c r="M32" s="25">
        <f t="shared" si="16"/>
        <v>0.57077701662084268</v>
      </c>
      <c r="N32" s="23">
        <f t="shared" si="14"/>
        <v>5885923000</v>
      </c>
      <c r="O32" s="25">
        <f t="shared" si="15"/>
        <v>1</v>
      </c>
    </row>
    <row r="33" spans="1:15" ht="71.25" x14ac:dyDescent="0.25">
      <c r="A33" s="22" t="s">
        <v>44</v>
      </c>
      <c r="B33" s="23">
        <f>VLOOKUP(A33,'[1]TD-EPA'!$A$5:$H$36,2,0)</f>
        <v>4281545000</v>
      </c>
      <c r="C33" s="24">
        <f>VLOOKUP(A33,'[1]TD-EPA'!$A$5:$H$36,3,0)</f>
        <v>4281545000</v>
      </c>
      <c r="D33" s="24">
        <f>VLOOKUP(A33,'[1]TD-EPA'!$A$5:$H$36,5,0)</f>
        <v>2097461105</v>
      </c>
      <c r="E33" s="25">
        <f t="shared" si="9"/>
        <v>0.48988416681361519</v>
      </c>
      <c r="F33" s="23">
        <f>VLOOKUP(A33,'[1]TD-EPA'!$A$5:$H$36,6,0)</f>
        <v>0</v>
      </c>
      <c r="G33" s="25">
        <f t="shared" si="10"/>
        <v>0</v>
      </c>
      <c r="H33" s="23">
        <f>VLOOKUP(A33,'[1]TD-EPA'!$A$5:$H$36,4,0)</f>
        <v>3583103799</v>
      </c>
      <c r="I33" s="23">
        <f>VLOOKUP(A33,'[1]TD-EPA'!$A$5:$H$36,7,0)</f>
        <v>0</v>
      </c>
      <c r="J33" s="23">
        <f t="shared" si="11"/>
        <v>698441201</v>
      </c>
      <c r="K33" s="25">
        <f t="shared" si="12"/>
        <v>0.16312831022446336</v>
      </c>
      <c r="L33" s="23">
        <f t="shared" si="13"/>
        <v>2184083895</v>
      </c>
      <c r="M33" s="25">
        <f t="shared" si="16"/>
        <v>0.51011583318638487</v>
      </c>
      <c r="N33" s="23">
        <f t="shared" si="14"/>
        <v>4281545000</v>
      </c>
      <c r="O33" s="25">
        <f t="shared" si="15"/>
        <v>1</v>
      </c>
    </row>
    <row r="34" spans="1:15" ht="42.75" x14ac:dyDescent="0.25">
      <c r="A34" s="22" t="s">
        <v>45</v>
      </c>
      <c r="B34" s="23">
        <f>VLOOKUP(A34,'[1]TD-EPA'!$A$5:$H$36,2,0)</f>
        <v>9161813320</v>
      </c>
      <c r="C34" s="24">
        <f>VLOOKUP(A34,'[1]TD-EPA'!$A$5:$H$36,3,0)</f>
        <v>9161813320</v>
      </c>
      <c r="D34" s="24">
        <f>VLOOKUP(A34,'[1]TD-EPA'!$A$5:$H$36,5,0)</f>
        <v>4311948333</v>
      </c>
      <c r="E34" s="25">
        <f t="shared" si="9"/>
        <v>0.47064354865069441</v>
      </c>
      <c r="F34" s="23">
        <f>VLOOKUP(A34,'[1]TD-EPA'!$A$5:$H$36,6,0)</f>
        <v>0</v>
      </c>
      <c r="G34" s="25">
        <f t="shared" si="10"/>
        <v>0</v>
      </c>
      <c r="H34" s="23">
        <f>VLOOKUP(A34,'[1]TD-EPA'!$A$5:$H$36,4,0)</f>
        <v>7327655000</v>
      </c>
      <c r="I34" s="23">
        <f>VLOOKUP(A34,'[1]TD-EPA'!$A$5:$H$36,7,0)</f>
        <v>0</v>
      </c>
      <c r="J34" s="23">
        <f t="shared" si="11"/>
        <v>1834158320</v>
      </c>
      <c r="K34" s="25">
        <f t="shared" si="12"/>
        <v>0.20019599351539724</v>
      </c>
      <c r="L34" s="23">
        <f t="shared" si="13"/>
        <v>4849864987</v>
      </c>
      <c r="M34" s="25">
        <f t="shared" si="16"/>
        <v>0.52935645134930565</v>
      </c>
      <c r="N34" s="23">
        <f t="shared" si="14"/>
        <v>9161813320</v>
      </c>
      <c r="O34" s="25">
        <f t="shared" si="15"/>
        <v>1</v>
      </c>
    </row>
    <row r="35" spans="1:15" ht="42.75" x14ac:dyDescent="0.25">
      <c r="A35" s="22" t="s">
        <v>46</v>
      </c>
      <c r="B35" s="23">
        <f>VLOOKUP(A35,'[1]TD-EPA'!$A$5:$H$36,2,0)</f>
        <v>21633000000</v>
      </c>
      <c r="C35" s="24">
        <f>VLOOKUP(A35,'[1]TD-EPA'!$A$5:$H$36,3,0)</f>
        <v>21633000000</v>
      </c>
      <c r="D35" s="24">
        <f>VLOOKUP(A35,'[1]TD-EPA'!$A$5:$H$36,5,0)</f>
        <v>9147421662</v>
      </c>
      <c r="E35" s="25">
        <f t="shared" si="9"/>
        <v>0.42284572930245456</v>
      </c>
      <c r="F35" s="23">
        <f>VLOOKUP(A35,'[1]TD-EPA'!$A$5:$H$36,6,0)</f>
        <v>16832537</v>
      </c>
      <c r="G35" s="25">
        <f t="shared" si="10"/>
        <v>7.7809536356492396E-4</v>
      </c>
      <c r="H35" s="23">
        <f>VLOOKUP(A35,'[1]TD-EPA'!$A$5:$H$36,4,0)</f>
        <v>12997927007.01</v>
      </c>
      <c r="I35" s="23">
        <f>VLOOKUP(A35,'[1]TD-EPA'!$A$5:$H$36,7,0)</f>
        <v>15997216</v>
      </c>
      <c r="J35" s="23">
        <f t="shared" si="11"/>
        <v>8635072992.9899998</v>
      </c>
      <c r="K35" s="25">
        <f t="shared" si="12"/>
        <v>0.39916206688808764</v>
      </c>
      <c r="L35" s="23">
        <f t="shared" si="13"/>
        <v>12485578338</v>
      </c>
      <c r="M35" s="25">
        <f t="shared" si="16"/>
        <v>0.57715427069754544</v>
      </c>
      <c r="N35" s="23">
        <f t="shared" si="14"/>
        <v>21616167463</v>
      </c>
      <c r="O35" s="25">
        <f t="shared" si="15"/>
        <v>0.99922190463643512</v>
      </c>
    </row>
    <row r="36" spans="1:15" ht="57" x14ac:dyDescent="0.25">
      <c r="A36" s="22" t="s">
        <v>47</v>
      </c>
      <c r="B36" s="23">
        <f>VLOOKUP(A36,'[1]TD-EPA'!$A$5:$H$36,2,0)</f>
        <v>2988390000</v>
      </c>
      <c r="C36" s="24">
        <f>VLOOKUP(A36,'[1]TD-EPA'!$A$5:$H$36,3,0)</f>
        <v>2988390000</v>
      </c>
      <c r="D36" s="24">
        <f>VLOOKUP(A36,'[1]TD-EPA'!$A$5:$H$36,5,0)</f>
        <v>1320220950</v>
      </c>
      <c r="E36" s="25">
        <f t="shared" si="9"/>
        <v>0.44178335157057813</v>
      </c>
      <c r="F36" s="23">
        <f>VLOOKUP(A36,'[1]TD-EPA'!$A$5:$H$36,6,0)</f>
        <v>0</v>
      </c>
      <c r="G36" s="25">
        <f t="shared" si="10"/>
        <v>0</v>
      </c>
      <c r="H36" s="23">
        <f>VLOOKUP(A36,'[1]TD-EPA'!$A$5:$H$36,4,0)</f>
        <v>2703791350</v>
      </c>
      <c r="I36" s="23">
        <f>VLOOKUP(A36,'[1]TD-EPA'!$A$5:$H$36,7,0)</f>
        <v>0</v>
      </c>
      <c r="J36" s="23">
        <f t="shared" si="11"/>
        <v>284598650</v>
      </c>
      <c r="K36" s="25">
        <f t="shared" si="12"/>
        <v>9.5234775246872058E-2</v>
      </c>
      <c r="L36" s="23">
        <f t="shared" si="13"/>
        <v>1668169050</v>
      </c>
      <c r="M36" s="25">
        <f t="shared" si="16"/>
        <v>0.55821664842942187</v>
      </c>
      <c r="N36" s="23">
        <f t="shared" si="14"/>
        <v>2988390000</v>
      </c>
      <c r="O36" s="25">
        <f t="shared" si="15"/>
        <v>1</v>
      </c>
    </row>
    <row r="37" spans="1:15" ht="57" x14ac:dyDescent="0.25">
      <c r="A37" s="22" t="s">
        <v>48</v>
      </c>
      <c r="B37" s="23">
        <f>VLOOKUP(A37,'[1]TD-EPA'!$A$5:$H$36,2,0)</f>
        <v>891000000</v>
      </c>
      <c r="C37" s="24">
        <f>VLOOKUP(A37,'[1]TD-EPA'!$A$5:$H$36,3,0)</f>
        <v>891000000</v>
      </c>
      <c r="D37" s="24">
        <f>VLOOKUP(A37,'[1]TD-EPA'!$A$5:$H$36,5,0)</f>
        <v>441110000</v>
      </c>
      <c r="E37" s="25">
        <f t="shared" si="9"/>
        <v>0.49507295173961841</v>
      </c>
      <c r="F37" s="23">
        <f>VLOOKUP(A37,'[1]TD-EPA'!$A$5:$H$36,6,0)</f>
        <v>0</v>
      </c>
      <c r="G37" s="25">
        <f t="shared" si="10"/>
        <v>0</v>
      </c>
      <c r="H37" s="23">
        <f>VLOOKUP(A37,'[1]TD-EPA'!$A$5:$H$36,4,0)</f>
        <v>623800000</v>
      </c>
      <c r="I37" s="23">
        <f>VLOOKUP(A37,'[1]TD-EPA'!$A$5:$H$36,7,0)</f>
        <v>0</v>
      </c>
      <c r="J37" s="23">
        <f t="shared" si="11"/>
        <v>267200000</v>
      </c>
      <c r="K37" s="25">
        <f t="shared" si="12"/>
        <v>0.29988776655443322</v>
      </c>
      <c r="L37" s="23">
        <f t="shared" si="13"/>
        <v>449890000</v>
      </c>
      <c r="M37" s="25">
        <f t="shared" si="16"/>
        <v>0.50492704826038159</v>
      </c>
      <c r="N37" s="23">
        <f t="shared" si="14"/>
        <v>891000000</v>
      </c>
      <c r="O37" s="25">
        <f t="shared" si="15"/>
        <v>1</v>
      </c>
    </row>
    <row r="38" spans="1:15" ht="42.75" x14ac:dyDescent="0.25">
      <c r="A38" s="22" t="s">
        <v>49</v>
      </c>
      <c r="B38" s="23">
        <f>VLOOKUP(A38,'[1]TD-EPA'!$A$5:$H$36,2,0)</f>
        <v>17862588833</v>
      </c>
      <c r="C38" s="24">
        <f>VLOOKUP(A38,'[1]TD-EPA'!$A$5:$H$36,3,0)</f>
        <v>17862588833</v>
      </c>
      <c r="D38" s="24">
        <f>VLOOKUP(A38,'[1]TD-EPA'!$A$5:$H$36,5,0)</f>
        <v>10880278838</v>
      </c>
      <c r="E38" s="25">
        <f t="shared" si="9"/>
        <v>0.60910985186533406</v>
      </c>
      <c r="F38" s="23">
        <f>VLOOKUP(A38,'[1]TD-EPA'!$A$5:$H$36,6,0)</f>
        <v>73211</v>
      </c>
      <c r="G38" s="25">
        <f t="shared" si="10"/>
        <v>4.0985660412642607E-6</v>
      </c>
      <c r="H38" s="23">
        <f>VLOOKUP(A38,'[1]TD-EPA'!$A$5:$H$36,4,0)</f>
        <v>13370086427</v>
      </c>
      <c r="I38" s="23">
        <f>VLOOKUP(A38,'[1]TD-EPA'!$A$5:$H$36,7,0)</f>
        <v>73211</v>
      </c>
      <c r="J38" s="23">
        <f t="shared" si="11"/>
        <v>4492502406</v>
      </c>
      <c r="K38" s="25">
        <f t="shared" si="12"/>
        <v>0.25150343256518265</v>
      </c>
      <c r="L38" s="23">
        <f t="shared" si="13"/>
        <v>6982309995</v>
      </c>
      <c r="M38" s="25">
        <f t="shared" si="16"/>
        <v>0.39089014813466594</v>
      </c>
      <c r="N38" s="23">
        <f t="shared" si="14"/>
        <v>17862515622</v>
      </c>
      <c r="O38" s="25">
        <f t="shared" si="15"/>
        <v>0.99999590143395878</v>
      </c>
    </row>
    <row r="39" spans="1:15" s="18" customFormat="1" ht="15.75" x14ac:dyDescent="0.25">
      <c r="A39" s="26" t="s">
        <v>50</v>
      </c>
      <c r="B39" s="27">
        <f>B8+B27</f>
        <v>157439696653</v>
      </c>
      <c r="C39" s="27">
        <f>C8+C27</f>
        <v>157439696653</v>
      </c>
      <c r="D39" s="27">
        <f>D8+D27</f>
        <v>52087216353.370003</v>
      </c>
      <c r="E39" s="17">
        <f t="shared" si="9"/>
        <v>0.33083915594788771</v>
      </c>
      <c r="F39" s="27">
        <f>F8+F27</f>
        <v>2714881646.1700001</v>
      </c>
      <c r="G39" s="17">
        <f t="shared" si="10"/>
        <v>1.7243946119596822E-2</v>
      </c>
      <c r="H39" s="27">
        <f>H8+H27</f>
        <v>122560366277.83</v>
      </c>
      <c r="I39" s="27">
        <f>I8+I27</f>
        <v>2701878679.1700001</v>
      </c>
      <c r="J39" s="27">
        <f>J8+J27</f>
        <v>34879330375.169998</v>
      </c>
      <c r="K39" s="17">
        <f t="shared" si="12"/>
        <v>0.22154088909383945</v>
      </c>
      <c r="L39" s="27">
        <f>L8+L27</f>
        <v>105352480299.63</v>
      </c>
      <c r="M39" s="17">
        <f t="shared" si="16"/>
        <v>0.66916084405211229</v>
      </c>
      <c r="N39" s="27">
        <f>N8+N27</f>
        <v>154724815006.83002</v>
      </c>
      <c r="O39" s="17">
        <f t="shared" si="15"/>
        <v>0.98275605388040332</v>
      </c>
    </row>
    <row r="40" spans="1:15" s="28" customFormat="1" x14ac:dyDescent="0.25">
      <c r="B40" s="29">
        <f>B39-[2]REP_EPG034_EjecucionPresupuesta!P32</f>
        <v>16944813653</v>
      </c>
      <c r="C40" s="30">
        <f>C39-[2]REP_EPG034_EjecucionPresupuesta!S32</f>
        <v>16944813653</v>
      </c>
      <c r="D40" s="30">
        <f>D39-[2]REP_EPG034_EjecucionPresupuesta!W32</f>
        <v>-596498841.18000031</v>
      </c>
      <c r="E40" s="31">
        <f>D39/C39</f>
        <v>0.33083915594788771</v>
      </c>
      <c r="F40" s="29">
        <f>F39-[2]REP_EPG034_EjecucionPresupuesta!X32</f>
        <v>-2206368593.0299997</v>
      </c>
      <c r="G40" s="31">
        <f>F39/C39</f>
        <v>1.7243946119596822E-2</v>
      </c>
      <c r="H40" s="29">
        <f>H39-[2]REP_EPG034_EjecucionPresupuesta!U32</f>
        <v>13548812843.75</v>
      </c>
      <c r="I40" s="29">
        <f>I39-[2]REP_EPG034_EjecucionPresupuesta!Z32</f>
        <v>-1570494362.29</v>
      </c>
      <c r="J40" s="29">
        <f>C39-(H39+J39)</f>
        <v>0</v>
      </c>
      <c r="K40" s="31">
        <f>J39/C39</f>
        <v>0.22154088909383945</v>
      </c>
      <c r="L40" s="29">
        <f>C39-(D39+L39)</f>
        <v>0</v>
      </c>
      <c r="M40" s="31">
        <f>L39/C39</f>
        <v>0.66916084405211229</v>
      </c>
      <c r="N40" s="29">
        <f>C39-(F39+N39)</f>
        <v>0</v>
      </c>
      <c r="O40" s="31">
        <f>N39/C39</f>
        <v>0.98275605388040332</v>
      </c>
    </row>
    <row r="41" spans="1:15" x14ac:dyDescent="0.25">
      <c r="F41" s="3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John Vargas</cp:lastModifiedBy>
  <dcterms:created xsi:type="dcterms:W3CDTF">2017-08-02T16:20:30Z</dcterms:created>
  <dcterms:modified xsi:type="dcterms:W3CDTF">2017-08-02T16:43:17Z</dcterms:modified>
</cp:coreProperties>
</file>