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odriguezb\Desktop\2020\Financiera\Ejecución presupuestal\"/>
    </mc:Choice>
  </mc:AlternateContent>
  <bookViews>
    <workbookView xWindow="0" yWindow="0" windowWidth="20490" windowHeight="7755"/>
  </bookViews>
  <sheets>
    <sheet name="EJECUCIÓN WEB" sheetId="1" r:id="rId1"/>
    <sheet name="METAS" sheetId="2" r:id="rId2"/>
  </sheets>
  <definedNames>
    <definedName name="_xlnm.Print_Area" localSheetId="1">METAS!$B$4:$J$28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2" l="1"/>
  <c r="H27" i="2"/>
  <c r="H23" i="2"/>
  <c r="H17" i="2"/>
  <c r="H16" i="2"/>
  <c r="H12" i="2"/>
  <c r="E27" i="2"/>
  <c r="E26" i="2"/>
  <c r="E25" i="2"/>
  <c r="E24" i="2"/>
  <c r="E16" i="2"/>
  <c r="E15" i="2"/>
  <c r="E14" i="2"/>
  <c r="E13" i="2"/>
  <c r="D27" i="2"/>
  <c r="D26" i="2"/>
  <c r="D25" i="2"/>
  <c r="D24" i="2"/>
  <c r="D16" i="2"/>
  <c r="D15" i="2"/>
  <c r="D14" i="2"/>
  <c r="D13" i="2"/>
  <c r="C27" i="2"/>
  <c r="C26" i="2"/>
  <c r="C25" i="2"/>
  <c r="C24" i="2"/>
  <c r="C16" i="2"/>
  <c r="C15" i="2"/>
  <c r="C14" i="2"/>
  <c r="C13" i="2"/>
  <c r="C12" i="2" l="1"/>
  <c r="C17" i="2" s="1"/>
  <c r="C23" i="2"/>
  <c r="C28" i="2" s="1"/>
  <c r="D12" i="2"/>
  <c r="D17" i="2" s="1"/>
  <c r="D23" i="2"/>
  <c r="F13" i="2"/>
  <c r="E12" i="2"/>
  <c r="F14" i="2"/>
  <c r="F15" i="2"/>
  <c r="F16" i="2"/>
  <c r="I16" i="2" s="1"/>
  <c r="F24" i="2"/>
  <c r="E23" i="2"/>
  <c r="F25" i="2"/>
  <c r="F26" i="2"/>
  <c r="F27" i="2"/>
  <c r="I27" i="2" s="1"/>
  <c r="G16" i="2"/>
  <c r="G12" i="2"/>
  <c r="J12" i="2" s="1"/>
  <c r="G27" i="2"/>
  <c r="J27" i="2" s="1"/>
  <c r="D28" i="2" l="1"/>
  <c r="G23" i="2"/>
  <c r="J16" i="2"/>
  <c r="G17" i="2"/>
  <c r="F23" i="2"/>
  <c r="I23" i="2" s="1"/>
  <c r="E28" i="2"/>
  <c r="F28" i="2" s="1"/>
  <c r="I28" i="2" s="1"/>
  <c r="F12" i="2"/>
  <c r="I12" i="2" s="1"/>
  <c r="E17" i="2"/>
  <c r="F17" i="2" s="1"/>
  <c r="I17" i="2" s="1"/>
  <c r="J17" i="2" l="1"/>
  <c r="J23" i="2"/>
  <c r="G28" i="2"/>
  <c r="J28" i="2" s="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<sst xmlns="http://schemas.openxmlformats.org/spreadsheetml/2006/main" count="95" uniqueCount="67">
  <si>
    <t>TOTAL</t>
  </si>
  <si>
    <t>IMPLEMENTACIÓN DE UNA SOLUCIÓN INMOBILIARIA PARA LA SUPERINTENDENCIA DE INDUSTRIA Y COMERCIO BOGOTÁ 2</t>
  </si>
  <si>
    <t>Gastos de Inversión</t>
  </si>
  <si>
    <t>Transferencias Corrientes</t>
  </si>
  <si>
    <t>Gastos Generales</t>
  </si>
  <si>
    <t>Gastos de Personal</t>
  </si>
  <si>
    <t>Gastos de Funcionamiento</t>
  </si>
  <si>
    <t>% APROP. SIN OBLIGAR</t>
  </si>
  <si>
    <t>APROP. SIN OBLIGAR</t>
  </si>
  <si>
    <t xml:space="preserve">% APROP. SIN COMPROMETER </t>
  </si>
  <si>
    <t>APROP. SIN COMPROMETER</t>
  </si>
  <si>
    <t>% APROP. SIN CDP</t>
  </si>
  <si>
    <t>APROP. SIN CDP</t>
  </si>
  <si>
    <t xml:space="preserve"> PAGOS</t>
  </si>
  <si>
    <t>CDP</t>
  </si>
  <si>
    <t>% OBLIGADO</t>
  </si>
  <si>
    <t xml:space="preserve"> OBLIGACION</t>
  </si>
  <si>
    <t>% 
COMPROMISO</t>
  </si>
  <si>
    <t xml:space="preserve"> COMPROMISO</t>
  </si>
  <si>
    <t xml:space="preserve"> APR. VIGENTE</t>
  </si>
  <si>
    <t xml:space="preserve"> APR. INICIAL</t>
  </si>
  <si>
    <t>CONCEPTO</t>
  </si>
  <si>
    <t>SISTEMA INTEGRADO DE INFORMACIÓN FINANCIERA - SIIF NACIÓN</t>
  </si>
  <si>
    <t>INFORME DE EJECUCIÓN PRESUPUESTAL</t>
  </si>
  <si>
    <t>SUPERINTENDENCIA DE INDUSTRIA Y COMERCIO</t>
  </si>
  <si>
    <t>METAS EJECUCIÓN - ACUERDO DE DESEMPEÑO MINCIT</t>
  </si>
  <si>
    <t>DICIEMBRE - 2019</t>
  </si>
  <si>
    <t>COMPROMISOS</t>
  </si>
  <si>
    <t>SIIF NACIÓN</t>
  </si>
  <si>
    <t>META MINCIT</t>
  </si>
  <si>
    <t>AVANCE META</t>
  </si>
  <si>
    <t>APROP. INICIAL</t>
  </si>
  <si>
    <t>APROP. VIGENTE</t>
  </si>
  <si>
    <t>$</t>
  </si>
  <si>
    <t>%</t>
  </si>
  <si>
    <t>POR EJECUTAR $</t>
  </si>
  <si>
    <t>Inversión</t>
  </si>
  <si>
    <t>OBLIGACIONES</t>
  </si>
  <si>
    <t>SALARIO</t>
  </si>
  <si>
    <t>CONTRIBUCIONES INHERENTES A LA NÓMINA</t>
  </si>
  <si>
    <t>REMUNERACIONES NO CONSTITUTIVAS DE FACTOR SALARIAL</t>
  </si>
  <si>
    <t>OTROS GASTOS DE PERSONAL - DISTRIBUCIÓN PREVIO CONCEPTO DGPPN</t>
  </si>
  <si>
    <t>ADQUISICIÓN DE ACTIVOS NO FINANCIEROS</t>
  </si>
  <si>
    <t>ADQUISICIONES DIFERENTES DE ACTIVOS</t>
  </si>
  <si>
    <t>CONVENCION DEL METRO - OFICINA INTERNACIONAL DE PESAS Y MEDIDAS - BIPM. LEY 1512 DE 2012</t>
  </si>
  <si>
    <t>ORGANIZACION PARA LA COOPERACION Y EL DESARROLLO ECONOMICO OCDE-ARTICULO 47 LEY 1450 DE 2011</t>
  </si>
  <si>
    <t>PROVISIÓN PARA GASTOS INSTITUCIONALES Y/O SECTORIALES CONTINGENTES- PREVIO CONCEPTO DGPPN</t>
  </si>
  <si>
    <t>MESADAS PENSIONALES (DE PENSIONES)</t>
  </si>
  <si>
    <t>APORTE PREVISION SOCIAL SERVICIOS MEDICOS (NO DE PENSIONES)</t>
  </si>
  <si>
    <t>SENTENCIAS</t>
  </si>
  <si>
    <t>CONCILIACIONES</t>
  </si>
  <si>
    <t>INCAPACIDADES Y LICENCIAS DE MATERNIDAD Y PATERNIDAD (NO DE PENSIONES)</t>
  </si>
  <si>
    <t>IMPUESTOS</t>
  </si>
  <si>
    <t>CUOTA DE FISCALIZACIÓN Y AUDITAJE</t>
  </si>
  <si>
    <t>INCREMENTO DE LA COBERTURA DE LOS SERVICIOS DE LA RED NACIONAL DE PROTECCIÓN AL CONSUMIDOR EN EL TERRITORIO  NACIONAL</t>
  </si>
  <si>
    <t>MEJORAMIENTO DEL CONTROL Y VIGILANCIA A LAS CÁMARAS DE COMERCIO Y COMERCIANTES A NIVEL  NACIONAL</t>
  </si>
  <si>
    <t>FORTALECIMIENTO DE LA FUNCIÓN JURISDICCIONAL DE LA SUPERINTENDENCIA DE INDUSTRIA Y COMERCIO A NIVEL  NACIONAL</t>
  </si>
  <si>
    <t>FORTALECIMIENTO DE LA PROTECCIÓN DE DATOS PERSONALES A NIVEL  NACIONAL</t>
  </si>
  <si>
    <t>FORTALECIMIENTO DEL RÉGIMEN DE PROTECCIÓN DE LA LIBRE COMPETENCIA ECONÓMICA EN LOS MERCADOS A NIVEL  NACIONAL</t>
  </si>
  <si>
    <t>FORTALECIMIENTO DE LA ATENCIÓN Y PROMOCIÓN DE TRÁMITES Y SERVICIOS EN EL MARCO DEL SISTEMA DE PROPIEDAD INDUSTRIAL A NIVEL  NACIONAL</t>
  </si>
  <si>
    <t>MEJORAMIENTO EN LA EJECUCIÓN DE LAS FUNCIONES ASIGNADAS EN MATERIA DE PROTECCIÓN AL CONSUMIDOR A NIVEL  NACIONAL</t>
  </si>
  <si>
    <t>FORTALECIMIENTO DE LA FUNCIÓN DE INSPECCIÓN, CONTROL Y VIGILANCIA DE LA SUPERINTENDENCIA DE INDUSTRIA Y COMERCIO EN EL MARCO DEL SUBSISTEMA NACIONAL DE CALIDAD, EL RÉGIMEN DE CONTROL DE PRECIOS Y EL SECTOR VALUATORIO A NIVEL  NACIONAL</t>
  </si>
  <si>
    <t>IMPLEMENTACIÓN DE UNA SOLUCIÓN INMOBILIARIA PARA LA SUPERINTENDENCIA DE INDUSTRIA Y COMERCIO EN  BOGOTÁ</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</si>
  <si>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</si>
  <si>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</si>
  <si>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MEJORAMIENTO DE LA INFRAESTRUCTURA FÍSICA DE LA SEDE DE LA SUPERINTENDENCIA DE INDUSTRIA Y COMERCIO EN  BOGOTÁ</t>
  </si>
  <si>
    <t>MEJORAMIENTO EN LA CALIDAD DE LA GESTIÓN ESTRATÉGICA DE LA SUPERINTENDENCIA DE INDUSTRIA Y COMERCIO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</si>
</sst>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00%"/>
    <numFmt numFmtId="166" formatCode="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sz val="12"/>
      <color theme="0"/>
      <name val="Arial"/>
      <family val="2"/>
    </font>
    <font>
      <b/>
      <sz val="12"/>
      <name val="Arial"/>
      <family val="2"/>
    </font>
    <font>
      <b/>
      <sz val="11"/>
      <name val="Arial"/>
      <family val="2"/>
    </font>
    <font>
      <sz val="11"/>
      <name val="Arial"/>
      <family val="2"/>
    </font>
    <font>
      <sz val="11"/>
      <color rgb="FF000000"/>
      <name val="Arial"/>
      <family val="2"/>
    </font>
    <font>
      <b/>
      <sz val="11"/>
      <color rgb="FF000000"/>
      <name val="Arial"/>
      <family val="2"/>
    </font>
    <font>
      <b/>
      <sz val="11"/>
      <color theme="0"/>
      <name val="Arial"/>
      <family val="2"/>
    </font>
    <font>
      <i/>
      <sz val="11"/>
      <name val="Arial"/>
      <family val="2"/>
    </font>
    <font>
      <b/>
      <u val="double"/>
      <sz val="16"/>
      <color rgb="FF00206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FFCC0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95">
    <xf numFmtId="0" fontId="0" fillId="0" borderId="0" xfId="0"/>
    <xf numFmtId="0" fontId="3" fillId="0" borderId="0" xfId="1" applyFont="1" applyFill="1" applyBorder="1" applyAlignment="1">
      <alignment vertical="center"/>
    </xf>
    <xf numFmtId="9" fontId="3" fillId="0" borderId="0" xfId="2" applyFont="1" applyFill="1" applyBorder="1" applyAlignment="1">
      <alignment vertical="center"/>
    </xf>
    <xf numFmtId="164" fontId="3" fillId="0" borderId="0" xfId="3" applyNumberFormat="1" applyFont="1" applyFill="1" applyBorder="1" applyAlignment="1">
      <alignment vertical="center"/>
    </xf>
    <xf numFmtId="164" fontId="3" fillId="0" borderId="0" xfId="1" applyNumberFormat="1" applyFont="1" applyFill="1" applyBorder="1" applyAlignment="1">
      <alignment vertical="center"/>
    </xf>
    <xf numFmtId="165" fontId="3" fillId="0" borderId="0" xfId="4" applyNumberFormat="1" applyFont="1" applyFill="1" applyBorder="1" applyAlignment="1">
      <alignment vertical="center"/>
    </xf>
    <xf numFmtId="0" fontId="4" fillId="0" borderId="0" xfId="1" applyFont="1" applyFill="1" applyBorder="1" applyAlignment="1">
      <alignment vertical="center"/>
    </xf>
    <xf numFmtId="10" fontId="4" fillId="0" borderId="0" xfId="2" applyNumberFormat="1" applyFont="1" applyFill="1" applyBorder="1" applyAlignment="1">
      <alignment vertical="center"/>
    </xf>
    <xf numFmtId="164" fontId="4" fillId="0" borderId="0" xfId="3" applyNumberFormat="1" applyFont="1" applyFill="1" applyBorder="1" applyAlignment="1">
      <alignment vertical="center"/>
    </xf>
    <xf numFmtId="164" fontId="4" fillId="0" borderId="0" xfId="1" applyNumberFormat="1" applyFont="1" applyFill="1" applyBorder="1" applyAlignment="1">
      <alignment vertical="center"/>
    </xf>
    <xf numFmtId="0" fontId="5" fillId="0" borderId="0" xfId="1" applyFont="1" applyFill="1" applyBorder="1" applyAlignment="1">
      <alignment vertical="center"/>
    </xf>
    <xf numFmtId="10" fontId="6" fillId="2" borderId="1" xfId="2" applyNumberFormat="1" applyFont="1" applyFill="1" applyBorder="1" applyAlignment="1" applyProtection="1">
      <alignment vertical="center"/>
    </xf>
    <xf numFmtId="164" fontId="6" fillId="2" borderId="1" xfId="1" applyNumberFormat="1" applyFont="1" applyFill="1" applyBorder="1" applyAlignment="1" applyProtection="1">
      <alignment vertical="center"/>
    </xf>
    <xf numFmtId="0" fontId="6" fillId="2" borderId="1" xfId="1" applyFont="1" applyFill="1" applyBorder="1" applyAlignment="1" applyProtection="1">
      <alignment vertical="center"/>
    </xf>
    <xf numFmtId="10" fontId="7" fillId="0" borderId="1" xfId="2" applyNumberFormat="1" applyFont="1" applyFill="1" applyBorder="1" applyAlignment="1" applyProtection="1">
      <alignment vertical="center"/>
    </xf>
    <xf numFmtId="164" fontId="7" fillId="0" borderId="1" xfId="3" applyNumberFormat="1" applyFont="1" applyFill="1" applyBorder="1" applyAlignment="1" applyProtection="1">
      <alignment vertical="center"/>
    </xf>
    <xf numFmtId="3" fontId="7" fillId="0" borderId="1" xfId="1" applyNumberFormat="1" applyFont="1" applyFill="1" applyBorder="1" applyAlignment="1" applyProtection="1">
      <alignment vertical="center"/>
    </xf>
    <xf numFmtId="0" fontId="8" fillId="0" borderId="1" xfId="1" applyNumberFormat="1" applyFont="1" applyFill="1" applyBorder="1" applyAlignment="1" applyProtection="1">
      <alignment horizontal="left" vertical="center" wrapText="1"/>
    </xf>
    <xf numFmtId="164" fontId="6" fillId="2" borderId="1" xfId="3" applyNumberFormat="1" applyFont="1" applyFill="1" applyBorder="1" applyAlignment="1" applyProtection="1">
      <alignment vertical="center"/>
    </xf>
    <xf numFmtId="0" fontId="9" fillId="2" borderId="1" xfId="1" applyNumberFormat="1" applyFont="1" applyFill="1" applyBorder="1" applyAlignment="1" applyProtection="1">
      <alignment horizontal="left" vertical="center" wrapText="1"/>
    </xf>
    <xf numFmtId="10" fontId="6" fillId="3" borderId="1" xfId="2" applyNumberFormat="1" applyFont="1" applyFill="1" applyBorder="1" applyAlignment="1" applyProtection="1">
      <alignment vertical="center"/>
    </xf>
    <xf numFmtId="164" fontId="6" fillId="3" borderId="1" xfId="3" applyNumberFormat="1" applyFont="1" applyFill="1" applyBorder="1" applyAlignment="1" applyProtection="1">
      <alignment vertical="center"/>
    </xf>
    <xf numFmtId="0" fontId="9" fillId="3" borderId="1" xfId="1" applyNumberFormat="1" applyFont="1" applyFill="1" applyBorder="1" applyAlignment="1" applyProtection="1">
      <alignment horizontal="left" vertical="center" wrapText="1"/>
    </xf>
    <xf numFmtId="9" fontId="10" fillId="4" borderId="1" xfId="2" applyFont="1" applyFill="1" applyBorder="1" applyAlignment="1" applyProtection="1">
      <alignment horizontal="center" vertical="center" wrapText="1"/>
    </xf>
    <xf numFmtId="164" fontId="10" fillId="4" borderId="1" xfId="3" applyNumberFormat="1" applyFont="1" applyFill="1" applyBorder="1" applyAlignment="1" applyProtection="1">
      <alignment horizontal="center" vertical="center" wrapText="1"/>
    </xf>
    <xf numFmtId="164" fontId="10" fillId="4" borderId="1" xfId="3" applyNumberFormat="1" applyFont="1" applyFill="1" applyBorder="1" applyAlignment="1" applyProtection="1">
      <alignment horizontal="center" vertical="center"/>
    </xf>
    <xf numFmtId="10" fontId="10" fillId="4" borderId="1" xfId="2" applyNumberFormat="1" applyFont="1" applyFill="1" applyBorder="1" applyAlignment="1" applyProtection="1">
      <alignment horizontal="center" vertical="center"/>
    </xf>
    <xf numFmtId="166" fontId="10" fillId="4" borderId="1" xfId="2" applyNumberFormat="1" applyFont="1" applyFill="1" applyBorder="1" applyAlignment="1" applyProtection="1">
      <alignment horizontal="center" vertical="center" wrapText="1"/>
    </xf>
    <xf numFmtId="0" fontId="10" fillId="4" borderId="1" xfId="1" applyFont="1" applyFill="1" applyBorder="1" applyAlignment="1" applyProtection="1">
      <alignment horizontal="center" vertical="center"/>
    </xf>
    <xf numFmtId="9" fontId="3" fillId="5" borderId="0" xfId="2" applyFont="1" applyFill="1" applyBorder="1" applyAlignment="1">
      <alignment vertical="center"/>
    </xf>
    <xf numFmtId="164" fontId="3" fillId="5" borderId="0" xfId="3" applyNumberFormat="1" applyFont="1" applyFill="1" applyBorder="1" applyAlignment="1">
      <alignment vertical="center"/>
    </xf>
    <xf numFmtId="0" fontId="3" fillId="5" borderId="0" xfId="1" applyFont="1" applyFill="1" applyBorder="1" applyAlignment="1">
      <alignment vertical="center"/>
    </xf>
    <xf numFmtId="164" fontId="3" fillId="5" borderId="0" xfId="1" applyNumberFormat="1" applyFont="1" applyFill="1" applyBorder="1" applyAlignment="1">
      <alignment vertical="center"/>
    </xf>
    <xf numFmtId="0" fontId="11" fillId="5" borderId="0" xfId="1" applyFont="1" applyFill="1" applyBorder="1" applyAlignment="1">
      <alignment vertical="center"/>
    </xf>
    <xf numFmtId="17" fontId="11" fillId="5" borderId="0" xfId="1" quotePrefix="1" applyNumberFormat="1" applyFont="1" applyFill="1" applyBorder="1" applyAlignment="1">
      <alignment vertical="center"/>
    </xf>
    <xf numFmtId="0" fontId="12" fillId="5" borderId="0" xfId="1" applyFont="1" applyFill="1" applyBorder="1" applyAlignment="1">
      <alignment vertical="center"/>
    </xf>
    <xf numFmtId="0" fontId="13" fillId="5" borderId="0" xfId="1" applyFont="1" applyFill="1" applyBorder="1"/>
    <xf numFmtId="0" fontId="13" fillId="0" borderId="0" xfId="1" applyFont="1" applyFill="1" applyBorder="1"/>
    <xf numFmtId="0" fontId="15" fillId="5" borderId="0" xfId="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2" borderId="5" xfId="1" applyFont="1" applyFill="1" applyBorder="1" applyAlignment="1">
      <alignment horizontal="center" vertical="center"/>
    </xf>
    <xf numFmtId="0" fontId="17" fillId="4" borderId="5" xfId="1" applyFont="1" applyFill="1" applyBorder="1" applyAlignment="1">
      <alignment horizontal="center" vertical="center"/>
    </xf>
    <xf numFmtId="0" fontId="17" fillId="4" borderId="2" xfId="1" applyFont="1" applyFill="1" applyBorder="1" applyAlignment="1">
      <alignment horizontal="center" vertical="center"/>
    </xf>
    <xf numFmtId="0" fontId="20" fillId="4"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2" applyNumberFormat="1" applyFont="1" applyBorder="1"/>
    <xf numFmtId="0" fontId="21" fillId="8" borderId="8" xfId="1" applyFont="1" applyFill="1" applyBorder="1"/>
    <xf numFmtId="167" fontId="21" fillId="0" borderId="8" xfId="5" applyFont="1" applyBorder="1"/>
    <xf numFmtId="10" fontId="21" fillId="0" borderId="8" xfId="2" applyNumberFormat="1" applyFont="1" applyBorder="1"/>
    <xf numFmtId="10" fontId="15" fillId="5" borderId="0" xfId="2" applyNumberFormat="1" applyFont="1" applyFill="1" applyBorder="1"/>
    <xf numFmtId="0" fontId="21" fillId="8" borderId="10" xfId="1" applyFont="1" applyFill="1" applyBorder="1"/>
    <xf numFmtId="167" fontId="21" fillId="0" borderId="10" xfId="5" applyFont="1" applyBorder="1"/>
    <xf numFmtId="10" fontId="21" fillId="0" borderId="10" xfId="2" applyNumberFormat="1" applyFont="1" applyBorder="1"/>
    <xf numFmtId="0" fontId="19" fillId="8" borderId="5" xfId="1" applyFont="1" applyFill="1" applyBorder="1"/>
    <xf numFmtId="167" fontId="19" fillId="0" borderId="5" xfId="5" applyFont="1" applyBorder="1"/>
    <xf numFmtId="10" fontId="19" fillId="0" borderId="5" xfId="2" applyNumberFormat="1" applyFont="1" applyBorder="1"/>
    <xf numFmtId="10" fontId="19" fillId="0" borderId="7" xfId="2"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2" borderId="5" xfId="5" applyFont="1" applyFill="1" applyBorder="1"/>
    <xf numFmtId="10" fontId="16" fillId="2" borderId="5" xfId="2" applyNumberFormat="1" applyFont="1" applyFill="1" applyBorder="1"/>
    <xf numFmtId="167" fontId="17" fillId="4" borderId="5" xfId="5" applyFont="1" applyFill="1" applyBorder="1"/>
    <xf numFmtId="10" fontId="17" fillId="4" borderId="5" xfId="2" applyNumberFormat="1" applyFont="1" applyFill="1" applyBorder="1"/>
    <xf numFmtId="10" fontId="19" fillId="0" borderId="5" xfId="2" applyNumberFormat="1" applyFont="1" applyBorder="1" applyAlignment="1">
      <alignment horizontal="center" vertical="center"/>
    </xf>
    <xf numFmtId="169" fontId="19" fillId="0" borderId="5" xfId="6" applyNumberFormat="1" applyFont="1" applyBorder="1" applyAlignment="1">
      <alignment horizontal="center" vertical="center"/>
    </xf>
    <xf numFmtId="9" fontId="13" fillId="5" borderId="0" xfId="2" applyFont="1" applyFill="1" applyBorder="1"/>
    <xf numFmtId="10" fontId="13" fillId="5" borderId="0" xfId="1" applyNumberFormat="1" applyFont="1" applyFill="1" applyBorder="1"/>
    <xf numFmtId="167" fontId="13" fillId="5" borderId="0" xfId="5" applyFont="1" applyFill="1" applyBorder="1"/>
    <xf numFmtId="10" fontId="13" fillId="5" borderId="0" xfId="2" applyNumberFormat="1" applyFont="1" applyFill="1" applyBorder="1"/>
    <xf numFmtId="10" fontId="13" fillId="5" borderId="0" xfId="1" applyNumberFormat="1" applyFont="1" applyFill="1" applyBorder="1" applyAlignment="1">
      <alignment horizontal="right"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2" applyNumberFormat="1" applyFont="1" applyBorder="1" applyAlignment="1">
      <alignment horizontal="right" vertical="center"/>
    </xf>
    <xf numFmtId="10" fontId="19" fillId="0" borderId="9" xfId="2" applyNumberFormat="1" applyFont="1" applyBorder="1" applyAlignment="1">
      <alignment horizontal="right" vertical="center"/>
    </xf>
    <xf numFmtId="10" fontId="19" fillId="0" borderId="6" xfId="2" applyNumberFormat="1" applyFont="1" applyBorder="1" applyAlignment="1">
      <alignment horizontal="right" vertical="center"/>
    </xf>
    <xf numFmtId="10" fontId="19" fillId="0" borderId="4" xfId="2" applyNumberFormat="1" applyFont="1" applyBorder="1" applyAlignment="1">
      <alignment horizontal="center" vertical="center"/>
    </xf>
    <xf numFmtId="10" fontId="19" fillId="0" borderId="9" xfId="2" applyNumberFormat="1" applyFont="1" applyBorder="1" applyAlignment="1">
      <alignment horizontal="center" vertical="center"/>
    </xf>
    <xf numFmtId="10" fontId="19" fillId="0" borderId="6" xfId="2" applyNumberFormat="1" applyFont="1" applyBorder="1" applyAlignment="1">
      <alignment horizontal="center"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Fill="1" applyBorder="1" applyAlignment="1">
      <alignment horizontal="center" vertical="center"/>
    </xf>
    <xf numFmtId="0" fontId="16" fillId="2" borderId="2" xfId="1" applyFont="1" applyFill="1" applyBorder="1" applyAlignment="1">
      <alignment horizontal="center"/>
    </xf>
    <xf numFmtId="0" fontId="16" fillId="2" borderId="3" xfId="1" applyFont="1" applyFill="1" applyBorder="1" applyAlignment="1">
      <alignment horizontal="center"/>
    </xf>
    <xf numFmtId="0" fontId="17" fillId="4" borderId="2" xfId="1" applyFont="1" applyFill="1" applyBorder="1" applyAlignment="1">
      <alignment horizontal="center"/>
    </xf>
    <xf numFmtId="0" fontId="17" fillId="4"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xf numFmtId="167" fontId="19" fillId="0" borderId="4" xfId="5" applyFont="1" applyBorder="1" applyAlignment="1">
      <alignment horizontal="right" vertical="center"/>
    </xf>
    <xf numFmtId="167" fontId="19" fillId="0" borderId="9" xfId="5" applyFont="1" applyBorder="1" applyAlignment="1">
      <alignment horizontal="right" vertical="center"/>
    </xf>
    <xf numFmtId="167" fontId="19" fillId="0" borderId="6" xfId="5" applyFont="1" applyBorder="1" applyAlignment="1">
      <alignment horizontal="right" vertical="center"/>
    </xf>
  </cellXfs>
  <cellStyles count="7">
    <cellStyle name="Millares 2" xfId="3"/>
    <cellStyle name="Millares 3" xfId="5"/>
    <cellStyle name="Moneda 2" xfId="6"/>
    <cellStyle name="Normal" xfId="0" builtinId="0"/>
    <cellStyle name="Normal 2" xfId="1"/>
    <cellStyle name="Porcentaje 2" xfId="2"/>
    <cellStyle name="Porcentaje 3" xfId="4"/>
  </cellStyles>
  <dxfs count="1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0</xdr:rowOff>
    </xdr:from>
    <xdr:ext cx="2159793" cy="821531"/>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682" b="37368"/>
        <a:stretch/>
      </xdr:blipFill>
      <xdr:spPr>
        <a:xfrm>
          <a:off x="400050" y="0"/>
          <a:ext cx="2159793" cy="82153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581026</xdr:colOff>
      <xdr:row>0</xdr:row>
      <xdr:rowOff>0</xdr:rowOff>
    </xdr:from>
    <xdr:to>
      <xdr:col>2</xdr:col>
      <xdr:colOff>1071562</xdr:colOff>
      <xdr:row>4</xdr:row>
      <xdr:rowOff>23813</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54" b="39205"/>
        <a:stretch/>
      </xdr:blipFill>
      <xdr:spPr>
        <a:xfrm>
          <a:off x="1343026" y="0"/>
          <a:ext cx="2147886" cy="8524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7"/>
  <sheetViews>
    <sheetView tabSelected="1" zoomScale="80" zoomScaleNormal="80" workbookViewId="0">
      <pane xSplit="1" ySplit="7" topLeftCell="B23" activePane="bottomRight" state="frozen"/>
      <selection pane="topRight" activeCell="B1" sqref="B1"/>
      <selection pane="bottomLeft" activeCell="A2" sqref="A2"/>
      <selection pane="bottomRight" activeCell="D31" sqref="D31"/>
    </sheetView>
  </sheetViews>
  <sheetFormatPr baseColWidth="10" defaultRowHeight="15" x14ac:dyDescent="0.25"/>
  <cols>
    <col min="1" max="1" width="45.140625" style="1" customWidth="1"/>
    <col min="2" max="2" width="24.5703125" style="4" bestFit="1" customWidth="1"/>
    <col min="3" max="3" width="23.28515625" style="1" bestFit="1" customWidth="1"/>
    <col min="4" max="4" width="22" style="1" bestFit="1" customWidth="1"/>
    <col min="5" max="5" width="19.5703125" style="1" customWidth="1"/>
    <col min="6" max="6" width="20.5703125" style="3" bestFit="1" customWidth="1"/>
    <col min="7" max="7" width="16.7109375" style="1" bestFit="1" customWidth="1"/>
    <col min="8" max="8" width="23.28515625" style="3" bestFit="1" customWidth="1"/>
    <col min="9" max="9" width="20.5703125" style="3" bestFit="1" customWidth="1"/>
    <col min="10" max="10" width="21.85546875" style="3" customWidth="1"/>
    <col min="11" max="11" width="11.7109375" style="2" bestFit="1" customWidth="1"/>
    <col min="12" max="12" width="23.28515625" style="3" bestFit="1" customWidth="1"/>
    <col min="13" max="13" width="22.42578125" style="2" customWidth="1"/>
    <col min="14" max="14" width="23.28515625" style="3" bestFit="1" customWidth="1"/>
    <col min="15" max="15" width="13.85546875" style="2" customWidth="1"/>
    <col min="16" max="16384" width="11.42578125" style="1"/>
  </cols>
  <sheetData>
    <row r="1" spans="1:15" ht="29.25" customHeight="1" x14ac:dyDescent="0.25">
      <c r="A1" s="31"/>
      <c r="B1" s="35" t="s">
        <v>24</v>
      </c>
      <c r="C1" s="31"/>
      <c r="D1" s="31"/>
      <c r="E1" s="31"/>
      <c r="F1" s="30"/>
      <c r="G1" s="31"/>
      <c r="H1" s="30"/>
      <c r="I1" s="30"/>
      <c r="J1" s="30"/>
      <c r="K1" s="29"/>
      <c r="L1" s="30"/>
      <c r="M1" s="29"/>
      <c r="N1" s="30"/>
      <c r="O1" s="29"/>
    </row>
    <row r="2" spans="1:15" x14ac:dyDescent="0.25">
      <c r="A2" s="31"/>
      <c r="B2" s="31"/>
      <c r="C2" s="31"/>
      <c r="D2" s="31"/>
      <c r="E2" s="31"/>
      <c r="F2" s="30"/>
      <c r="G2" s="31"/>
      <c r="H2" s="30"/>
      <c r="I2" s="30"/>
      <c r="J2" s="30"/>
      <c r="K2" s="29"/>
      <c r="L2" s="30"/>
      <c r="M2" s="29"/>
      <c r="N2" s="30"/>
      <c r="O2" s="29"/>
    </row>
    <row r="3" spans="1:15" x14ac:dyDescent="0.25">
      <c r="A3" s="31"/>
      <c r="B3" s="33" t="s">
        <v>23</v>
      </c>
      <c r="C3" s="31"/>
      <c r="D3" s="31"/>
      <c r="E3" s="31"/>
      <c r="F3" s="30"/>
      <c r="G3" s="31"/>
      <c r="H3" s="30"/>
      <c r="I3" s="30"/>
      <c r="J3" s="30"/>
      <c r="K3" s="29"/>
      <c r="L3" s="30"/>
      <c r="M3" s="29"/>
      <c r="N3" s="30"/>
      <c r="O3" s="29"/>
    </row>
    <row r="4" spans="1:15" x14ac:dyDescent="0.25">
      <c r="A4" s="31"/>
      <c r="B4" s="34" t="s">
        <v>26</v>
      </c>
      <c r="C4" s="31"/>
      <c r="D4" s="31"/>
      <c r="E4" s="31"/>
      <c r="F4" s="30"/>
      <c r="G4" s="31"/>
      <c r="H4" s="30"/>
      <c r="I4" s="30"/>
      <c r="J4" s="30"/>
      <c r="K4" s="29"/>
      <c r="L4" s="30"/>
      <c r="M4" s="29"/>
      <c r="N4" s="30"/>
      <c r="O4" s="29"/>
    </row>
    <row r="5" spans="1:15" x14ac:dyDescent="0.25">
      <c r="A5" s="31"/>
      <c r="B5" s="33" t="s">
        <v>22</v>
      </c>
      <c r="C5" s="31"/>
      <c r="D5" s="31"/>
      <c r="E5" s="31"/>
      <c r="F5" s="30"/>
      <c r="G5" s="31"/>
      <c r="H5" s="30"/>
      <c r="I5" s="30"/>
      <c r="J5" s="30"/>
      <c r="K5" s="29"/>
      <c r="L5" s="30"/>
      <c r="M5" s="29"/>
      <c r="N5" s="30"/>
      <c r="O5" s="29"/>
    </row>
    <row r="6" spans="1:15" x14ac:dyDescent="0.25">
      <c r="A6" s="31"/>
      <c r="B6" s="32"/>
      <c r="C6" s="31"/>
      <c r="D6" s="31"/>
      <c r="E6" s="31"/>
      <c r="F6" s="30"/>
      <c r="G6" s="31"/>
      <c r="H6" s="30"/>
      <c r="I6" s="30"/>
      <c r="J6" s="30"/>
      <c r="K6" s="29"/>
      <c r="L6" s="30"/>
      <c r="M6" s="29"/>
      <c r="N6" s="30"/>
      <c r="O6" s="29"/>
    </row>
    <row r="7" spans="1:15" ht="45" x14ac:dyDescent="0.25">
      <c r="A7" s="28" t="s">
        <v>21</v>
      </c>
      <c r="B7" s="25" t="s">
        <v>20</v>
      </c>
      <c r="C7" s="25" t="s">
        <v>19</v>
      </c>
      <c r="D7" s="25" t="s">
        <v>18</v>
      </c>
      <c r="E7" s="27" t="s">
        <v>17</v>
      </c>
      <c r="F7" s="25" t="s">
        <v>16</v>
      </c>
      <c r="G7" s="26" t="s">
        <v>15</v>
      </c>
      <c r="H7" s="25" t="s">
        <v>14</v>
      </c>
      <c r="I7" s="25" t="s">
        <v>13</v>
      </c>
      <c r="J7" s="24" t="s">
        <v>12</v>
      </c>
      <c r="K7" s="23" t="s">
        <v>11</v>
      </c>
      <c r="L7" s="24" t="s">
        <v>10</v>
      </c>
      <c r="M7" s="23" t="s">
        <v>9</v>
      </c>
      <c r="N7" s="24" t="s">
        <v>8</v>
      </c>
      <c r="O7" s="23" t="s">
        <v>7</v>
      </c>
    </row>
    <row r="8" spans="1:15" s="10" customFormat="1" ht="15.75" x14ac:dyDescent="0.25">
      <c r="A8" s="19" t="s">
        <v>6</v>
      </c>
      <c r="B8" s="18">
        <v>78755679868</v>
      </c>
      <c r="C8" s="18">
        <v>78755679868</v>
      </c>
      <c r="D8" s="18">
        <v>73046718479.519989</v>
      </c>
      <c r="E8" s="11">
        <v>0.92751048053869101</v>
      </c>
      <c r="F8" s="18">
        <v>72598208974.330002</v>
      </c>
      <c r="G8" s="11">
        <v>0.92181553249250914</v>
      </c>
      <c r="H8" s="18">
        <v>74618580681.680008</v>
      </c>
      <c r="I8" s="18">
        <v>71922577422.330002</v>
      </c>
      <c r="J8" s="18">
        <v>4137099186.3200006</v>
      </c>
      <c r="K8" s="11">
        <v>5.2530804041741076E-2</v>
      </c>
      <c r="L8" s="18">
        <v>5708961388.4800005</v>
      </c>
      <c r="M8" s="11">
        <v>7.248951946130891E-2</v>
      </c>
      <c r="N8" s="18">
        <v>6157470893.670001</v>
      </c>
      <c r="O8" s="11">
        <v>7.8184467507490904E-2</v>
      </c>
    </row>
    <row r="9" spans="1:15" s="10" customFormat="1" ht="15.75" x14ac:dyDescent="0.25">
      <c r="A9" s="22" t="s">
        <v>5</v>
      </c>
      <c r="B9" s="21">
        <v>58763996000</v>
      </c>
      <c r="C9" s="21">
        <v>58763996000</v>
      </c>
      <c r="D9" s="21">
        <v>57273008670</v>
      </c>
      <c r="E9" s="20">
        <v>0.9746275367318451</v>
      </c>
      <c r="F9" s="21">
        <v>57273008670</v>
      </c>
      <c r="G9" s="20">
        <v>0.9746275367318451</v>
      </c>
      <c r="H9" s="21">
        <v>58401399000</v>
      </c>
      <c r="I9" s="21">
        <v>57260778469</v>
      </c>
      <c r="J9" s="21">
        <v>362597000</v>
      </c>
      <c r="K9" s="20">
        <v>6.1703938581712517E-3</v>
      </c>
      <c r="L9" s="21">
        <v>1490987330</v>
      </c>
      <c r="M9" s="20">
        <v>2.5372463268154875E-2</v>
      </c>
      <c r="N9" s="21">
        <v>1490987330</v>
      </c>
      <c r="O9" s="20">
        <v>2.5372463268154875E-2</v>
      </c>
    </row>
    <row r="10" spans="1:15" x14ac:dyDescent="0.25">
      <c r="A10" s="17" t="s">
        <v>38</v>
      </c>
      <c r="B10" s="15">
        <v>40628002000</v>
      </c>
      <c r="C10" s="16">
        <v>34935436000</v>
      </c>
      <c r="D10" s="16">
        <v>34590059740</v>
      </c>
      <c r="E10" s="14">
        <v>0.99011387005446272</v>
      </c>
      <c r="F10" s="15">
        <v>34590059740</v>
      </c>
      <c r="G10" s="14">
        <v>0.99011387005446272</v>
      </c>
      <c r="H10" s="15">
        <v>34935436000</v>
      </c>
      <c r="I10" s="15">
        <v>34586313532</v>
      </c>
      <c r="J10" s="15">
        <v>0</v>
      </c>
      <c r="K10" s="14">
        <v>0</v>
      </c>
      <c r="L10" s="15">
        <v>345376260</v>
      </c>
      <c r="M10" s="14">
        <v>9.8861299455372479E-3</v>
      </c>
      <c r="N10" s="15">
        <v>345376260</v>
      </c>
      <c r="O10" s="14">
        <v>9.8861299455372479E-3</v>
      </c>
    </row>
    <row r="11" spans="1:15" ht="28.5" x14ac:dyDescent="0.25">
      <c r="A11" s="17" t="s">
        <v>39</v>
      </c>
      <c r="B11" s="15">
        <v>13022354000</v>
      </c>
      <c r="C11" s="16">
        <v>13228204000</v>
      </c>
      <c r="D11" s="16">
        <v>12280549439</v>
      </c>
      <c r="E11" s="14">
        <v>0.9283610563459711</v>
      </c>
      <c r="F11" s="15">
        <v>12280549439</v>
      </c>
      <c r="G11" s="14">
        <v>0.9283610563459711</v>
      </c>
      <c r="H11" s="15">
        <v>13022354000</v>
      </c>
      <c r="I11" s="15">
        <v>12272065446</v>
      </c>
      <c r="J11" s="15">
        <v>205850000</v>
      </c>
      <c r="K11" s="14">
        <v>1.556144734387223E-2</v>
      </c>
      <c r="L11" s="15">
        <v>947654561</v>
      </c>
      <c r="M11" s="14">
        <v>7.1638943654028925E-2</v>
      </c>
      <c r="N11" s="15">
        <v>947654561</v>
      </c>
      <c r="O11" s="14">
        <v>7.1638943654028925E-2</v>
      </c>
    </row>
    <row r="12" spans="1:15" ht="28.5" x14ac:dyDescent="0.25">
      <c r="A12" s="17" t="s">
        <v>40</v>
      </c>
      <c r="B12" s="15">
        <v>3243609000</v>
      </c>
      <c r="C12" s="16">
        <v>10443609000</v>
      </c>
      <c r="D12" s="16">
        <v>10402399491</v>
      </c>
      <c r="E12" s="14">
        <v>0.99605409308219028</v>
      </c>
      <c r="F12" s="15">
        <v>10402399491</v>
      </c>
      <c r="G12" s="14">
        <v>0.99605409308219028</v>
      </c>
      <c r="H12" s="15">
        <v>10443609000</v>
      </c>
      <c r="I12" s="15">
        <v>10402399491</v>
      </c>
      <c r="J12" s="15">
        <v>0</v>
      </c>
      <c r="K12" s="14">
        <v>0</v>
      </c>
      <c r="L12" s="15">
        <v>41209509</v>
      </c>
      <c r="M12" s="14">
        <v>3.9459069178097344E-3</v>
      </c>
      <c r="N12" s="15">
        <v>41209509</v>
      </c>
      <c r="O12" s="14">
        <v>3.9459069178097344E-3</v>
      </c>
    </row>
    <row r="13" spans="1:15" ht="42.75" x14ac:dyDescent="0.25">
      <c r="A13" s="17" t="s">
        <v>41</v>
      </c>
      <c r="B13" s="15">
        <v>1870031000</v>
      </c>
      <c r="C13" s="16">
        <v>156747000</v>
      </c>
      <c r="D13" s="16">
        <v>0</v>
      </c>
      <c r="E13" s="14">
        <v>0</v>
      </c>
      <c r="F13" s="15">
        <v>0</v>
      </c>
      <c r="G13" s="14">
        <v>0</v>
      </c>
      <c r="H13" s="15">
        <v>0</v>
      </c>
      <c r="I13" s="15">
        <v>0</v>
      </c>
      <c r="J13" s="15">
        <v>156747000</v>
      </c>
      <c r="K13" s="14">
        <v>1</v>
      </c>
      <c r="L13" s="15">
        <v>156747000</v>
      </c>
      <c r="M13" s="14">
        <v>1</v>
      </c>
      <c r="N13" s="15">
        <v>156747000</v>
      </c>
      <c r="O13" s="14">
        <v>1</v>
      </c>
    </row>
    <row r="14" spans="1:15" s="10" customFormat="1" ht="15" customHeight="1" x14ac:dyDescent="0.25">
      <c r="A14" s="22" t="s">
        <v>4</v>
      </c>
      <c r="B14" s="21">
        <v>12676328868</v>
      </c>
      <c r="C14" s="21">
        <v>12522288437</v>
      </c>
      <c r="D14" s="21">
        <v>11794949975.959999</v>
      </c>
      <c r="E14" s="20">
        <v>0.94191649036841296</v>
      </c>
      <c r="F14" s="21">
        <v>11346617868.959999</v>
      </c>
      <c r="G14" s="20">
        <v>0.90611376075907901</v>
      </c>
      <c r="H14" s="21">
        <v>12112007848.799999</v>
      </c>
      <c r="I14" s="21">
        <v>10687345300.959999</v>
      </c>
      <c r="J14" s="21">
        <v>410280588.20000076</v>
      </c>
      <c r="K14" s="20">
        <v>3.2764026341042571E-2</v>
      </c>
      <c r="L14" s="21">
        <v>727338461.04000092</v>
      </c>
      <c r="M14" s="20">
        <v>5.8083509631587073E-2</v>
      </c>
      <c r="N14" s="21">
        <v>1175670568.0400009</v>
      </c>
      <c r="O14" s="20">
        <v>9.3886239240921016E-2</v>
      </c>
    </row>
    <row r="15" spans="1:15" ht="28.5" x14ac:dyDescent="0.25">
      <c r="A15" s="17" t="s">
        <v>42</v>
      </c>
      <c r="B15" s="15">
        <v>10000000</v>
      </c>
      <c r="C15" s="16">
        <v>10000000</v>
      </c>
      <c r="D15" s="16">
        <v>3895288</v>
      </c>
      <c r="E15" s="14">
        <v>0.38952880000000001</v>
      </c>
      <c r="F15" s="15">
        <v>3895288</v>
      </c>
      <c r="G15" s="14">
        <v>0.38952880000000001</v>
      </c>
      <c r="H15" s="15">
        <v>8237399</v>
      </c>
      <c r="I15" s="15">
        <v>3895288</v>
      </c>
      <c r="J15" s="15">
        <v>1762601</v>
      </c>
      <c r="K15" s="14">
        <v>0.1762601</v>
      </c>
      <c r="L15" s="15">
        <v>6104712</v>
      </c>
      <c r="M15" s="14">
        <v>0.61047119999999999</v>
      </c>
      <c r="N15" s="15">
        <v>6104712</v>
      </c>
      <c r="O15" s="14">
        <v>0.61047119999999999</v>
      </c>
    </row>
    <row r="16" spans="1:15" x14ac:dyDescent="0.25">
      <c r="A16" s="17" t="s">
        <v>43</v>
      </c>
      <c r="B16" s="15">
        <v>12666328868</v>
      </c>
      <c r="C16" s="16">
        <v>12512288437</v>
      </c>
      <c r="D16" s="16">
        <v>11791054687.959999</v>
      </c>
      <c r="E16" s="14">
        <v>0.94235796651656101</v>
      </c>
      <c r="F16" s="15">
        <v>11342722580.959999</v>
      </c>
      <c r="G16" s="14">
        <v>0.90652662285329944</v>
      </c>
      <c r="H16" s="15">
        <v>12103770449.799999</v>
      </c>
      <c r="I16" s="15">
        <v>10683450012.959999</v>
      </c>
      <c r="J16" s="15">
        <v>408517987.20000076</v>
      </c>
      <c r="K16" s="14">
        <v>3.2649342225197997E-2</v>
      </c>
      <c r="L16" s="15">
        <v>721233749.04000092</v>
      </c>
      <c r="M16" s="14">
        <v>5.764203348343902E-2</v>
      </c>
      <c r="N16" s="15">
        <v>1169565856.0400009</v>
      </c>
      <c r="O16" s="14">
        <v>9.3473377146700509E-2</v>
      </c>
    </row>
    <row r="17" spans="1:15" s="10" customFormat="1" ht="15.75" x14ac:dyDescent="0.25">
      <c r="A17" s="22" t="s">
        <v>3</v>
      </c>
      <c r="B17" s="21">
        <v>7315355000</v>
      </c>
      <c r="C17" s="21">
        <v>7469395431</v>
      </c>
      <c r="D17" s="21">
        <v>3978759833.5600004</v>
      </c>
      <c r="E17" s="20">
        <v>0.53267494944063032</v>
      </c>
      <c r="F17" s="21">
        <v>3978582435.3699999</v>
      </c>
      <c r="G17" s="20">
        <v>0.5326511994341353</v>
      </c>
      <c r="H17" s="21">
        <v>4105173832.8800001</v>
      </c>
      <c r="I17" s="21">
        <v>3974453652.3699999</v>
      </c>
      <c r="J17" s="21">
        <v>3364221598.1199999</v>
      </c>
      <c r="K17" s="20">
        <v>0.45040078935405875</v>
      </c>
      <c r="L17" s="21">
        <v>3490635597.4399996</v>
      </c>
      <c r="M17" s="20">
        <v>0.46732505055936963</v>
      </c>
      <c r="N17" s="21">
        <v>3490812995.6300001</v>
      </c>
      <c r="O17" s="20">
        <v>0.4673488005658647</v>
      </c>
    </row>
    <row r="18" spans="1:15" ht="42.75" x14ac:dyDescent="0.25">
      <c r="A18" s="17" t="s">
        <v>44</v>
      </c>
      <c r="B18" s="15">
        <v>81269000</v>
      </c>
      <c r="C18" s="16">
        <v>217519000</v>
      </c>
      <c r="D18" s="16">
        <v>212829898</v>
      </c>
      <c r="E18" s="14">
        <v>0.97844279350309626</v>
      </c>
      <c r="F18" s="15">
        <v>212829898</v>
      </c>
      <c r="G18" s="14">
        <v>0.97844279350309626</v>
      </c>
      <c r="H18" s="15">
        <v>217519000</v>
      </c>
      <c r="I18" s="15">
        <v>212785459</v>
      </c>
      <c r="J18" s="15">
        <v>0</v>
      </c>
      <c r="K18" s="14">
        <v>0</v>
      </c>
      <c r="L18" s="15">
        <v>4689102</v>
      </c>
      <c r="M18" s="14">
        <v>2.1557206496903718E-2</v>
      </c>
      <c r="N18" s="15">
        <v>4689102</v>
      </c>
      <c r="O18" s="14">
        <v>2.1557206496903718E-2</v>
      </c>
    </row>
    <row r="19" spans="1:15" ht="42.75" x14ac:dyDescent="0.25">
      <c r="A19" s="17" t="s">
        <v>45</v>
      </c>
      <c r="B19" s="15">
        <v>206493000</v>
      </c>
      <c r="C19" s="16">
        <v>84656000</v>
      </c>
      <c r="D19" s="16">
        <v>84479553</v>
      </c>
      <c r="E19" s="14">
        <v>0.99791571772821774</v>
      </c>
      <c r="F19" s="15">
        <v>84479553</v>
      </c>
      <c r="G19" s="14">
        <v>0.99791571772821774</v>
      </c>
      <c r="H19" s="15">
        <v>84656000</v>
      </c>
      <c r="I19" s="15">
        <v>84479553</v>
      </c>
      <c r="J19" s="15">
        <v>0</v>
      </c>
      <c r="K19" s="14">
        <v>0</v>
      </c>
      <c r="L19" s="15">
        <v>176447</v>
      </c>
      <c r="M19" s="14">
        <v>2.0842822717822718E-3</v>
      </c>
      <c r="N19" s="15">
        <v>176447</v>
      </c>
      <c r="O19" s="14">
        <v>2.0842822717822718E-3</v>
      </c>
    </row>
    <row r="20" spans="1:15" ht="57" x14ac:dyDescent="0.25">
      <c r="A20" s="17" t="s">
        <v>46</v>
      </c>
      <c r="B20" s="15">
        <v>1446200000</v>
      </c>
      <c r="C20" s="16">
        <v>1446200000</v>
      </c>
      <c r="D20" s="16">
        <v>0</v>
      </c>
      <c r="E20" s="14">
        <v>0</v>
      </c>
      <c r="F20" s="15">
        <v>0</v>
      </c>
      <c r="G20" s="14">
        <v>0</v>
      </c>
      <c r="H20" s="15">
        <v>0</v>
      </c>
      <c r="I20" s="15">
        <v>0</v>
      </c>
      <c r="J20" s="15">
        <v>1446200000</v>
      </c>
      <c r="K20" s="14">
        <v>1</v>
      </c>
      <c r="L20" s="15">
        <v>1446200000</v>
      </c>
      <c r="M20" s="14">
        <v>1</v>
      </c>
      <c r="N20" s="15">
        <v>1446200000</v>
      </c>
      <c r="O20" s="14">
        <v>1</v>
      </c>
    </row>
    <row r="21" spans="1:15" ht="28.5" customHeight="1" x14ac:dyDescent="0.25">
      <c r="A21" s="17" t="s">
        <v>47</v>
      </c>
      <c r="B21" s="15">
        <v>418365000</v>
      </c>
      <c r="C21" s="16">
        <v>403952000</v>
      </c>
      <c r="D21" s="16">
        <v>382916631.68000001</v>
      </c>
      <c r="E21" s="14">
        <v>0.94792606963203552</v>
      </c>
      <c r="F21" s="15">
        <v>382739233.49000001</v>
      </c>
      <c r="G21" s="14">
        <v>0.94748691302431975</v>
      </c>
      <c r="H21" s="15">
        <v>403952000</v>
      </c>
      <c r="I21" s="15">
        <v>382739233.49000001</v>
      </c>
      <c r="J21" s="15">
        <v>0</v>
      </c>
      <c r="K21" s="14">
        <v>0</v>
      </c>
      <c r="L21" s="15">
        <v>21035368.319999993</v>
      </c>
      <c r="M21" s="14">
        <v>5.207393036796449E-2</v>
      </c>
      <c r="N21" s="15">
        <v>21212766.50999999</v>
      </c>
      <c r="O21" s="14">
        <v>5.2513086975680252E-2</v>
      </c>
    </row>
    <row r="22" spans="1:15" ht="28.5" x14ac:dyDescent="0.25">
      <c r="A22" s="17" t="s">
        <v>48</v>
      </c>
      <c r="B22" s="15">
        <v>626000000</v>
      </c>
      <c r="C22" s="16">
        <v>690013275</v>
      </c>
      <c r="D22" s="16">
        <v>690013275</v>
      </c>
      <c r="E22" s="14">
        <v>1</v>
      </c>
      <c r="F22" s="15">
        <v>690013275</v>
      </c>
      <c r="G22" s="14">
        <v>1</v>
      </c>
      <c r="H22" s="15">
        <v>690013275</v>
      </c>
      <c r="I22" s="15">
        <v>690013275</v>
      </c>
      <c r="J22" s="15">
        <v>0</v>
      </c>
      <c r="K22" s="14">
        <v>0</v>
      </c>
      <c r="L22" s="15">
        <v>0</v>
      </c>
      <c r="M22" s="14">
        <v>0</v>
      </c>
      <c r="N22" s="15">
        <v>0</v>
      </c>
      <c r="O22" s="14">
        <v>0</v>
      </c>
    </row>
    <row r="23" spans="1:15" ht="27" customHeight="1" x14ac:dyDescent="0.25">
      <c r="A23" s="17" t="s">
        <v>49</v>
      </c>
      <c r="B23" s="15">
        <v>2060000000</v>
      </c>
      <c r="C23" s="16">
        <v>2060000000</v>
      </c>
      <c r="D23" s="16">
        <v>768684383.5</v>
      </c>
      <c r="E23" s="14">
        <v>0.3731477589805825</v>
      </c>
      <c r="F23" s="15">
        <v>768684383.5</v>
      </c>
      <c r="G23" s="14">
        <v>0.3731477589805825</v>
      </c>
      <c r="H23" s="15">
        <v>768694383.5</v>
      </c>
      <c r="I23" s="15">
        <v>768684383.5</v>
      </c>
      <c r="J23" s="15">
        <v>1291305616.5</v>
      </c>
      <c r="K23" s="14">
        <v>0.62684738665048545</v>
      </c>
      <c r="L23" s="15">
        <v>1291315616.5</v>
      </c>
      <c r="M23" s="14">
        <v>0.6268522410194175</v>
      </c>
      <c r="N23" s="15">
        <v>1291315616.5</v>
      </c>
      <c r="O23" s="14">
        <v>0.6268522410194175</v>
      </c>
    </row>
    <row r="24" spans="1:15" x14ac:dyDescent="0.25">
      <c r="A24" s="17" t="s">
        <v>50</v>
      </c>
      <c r="B24" s="15">
        <v>2060000000</v>
      </c>
      <c r="C24" s="16">
        <v>2060000000</v>
      </c>
      <c r="D24" s="16">
        <v>1482431989</v>
      </c>
      <c r="E24" s="14">
        <v>0.71962717912621355</v>
      </c>
      <c r="F24" s="15">
        <v>1482431989</v>
      </c>
      <c r="G24" s="14">
        <v>0.71962717912621355</v>
      </c>
      <c r="H24" s="15">
        <v>1482442019</v>
      </c>
      <c r="I24" s="15">
        <v>1478347645</v>
      </c>
      <c r="J24" s="15">
        <v>577557981</v>
      </c>
      <c r="K24" s="14">
        <v>0.28036795194174757</v>
      </c>
      <c r="L24" s="15">
        <v>577568011</v>
      </c>
      <c r="M24" s="14">
        <v>0.2803728208737864</v>
      </c>
      <c r="N24" s="15">
        <v>577568011</v>
      </c>
      <c r="O24" s="14">
        <v>0.2803728208737864</v>
      </c>
    </row>
    <row r="25" spans="1:15" ht="42.75" x14ac:dyDescent="0.25">
      <c r="A25" s="17" t="s">
        <v>51</v>
      </c>
      <c r="B25" s="15">
        <v>128770000</v>
      </c>
      <c r="C25" s="16">
        <v>128770000</v>
      </c>
      <c r="D25" s="16">
        <v>28299948</v>
      </c>
      <c r="E25" s="14">
        <v>0.21977128213093111</v>
      </c>
      <c r="F25" s="15">
        <v>28299948</v>
      </c>
      <c r="G25" s="14">
        <v>0.21977128213093111</v>
      </c>
      <c r="H25" s="15">
        <v>128770000</v>
      </c>
      <c r="I25" s="15">
        <v>28299948</v>
      </c>
      <c r="J25" s="15">
        <v>0</v>
      </c>
      <c r="K25" s="14">
        <v>0</v>
      </c>
      <c r="L25" s="15">
        <v>100470052</v>
      </c>
      <c r="M25" s="14">
        <v>0.78022871786906889</v>
      </c>
      <c r="N25" s="15">
        <v>100470052</v>
      </c>
      <c r="O25" s="14">
        <v>0.78022871786906889</v>
      </c>
    </row>
    <row r="26" spans="1:15" x14ac:dyDescent="0.25">
      <c r="A26" s="17" t="s">
        <v>52</v>
      </c>
      <c r="B26" s="15">
        <v>51500000</v>
      </c>
      <c r="C26" s="16">
        <v>51500000</v>
      </c>
      <c r="D26" s="16">
        <v>2319000</v>
      </c>
      <c r="E26" s="14">
        <v>4.502912621359223E-2</v>
      </c>
      <c r="F26" s="15">
        <v>2319000</v>
      </c>
      <c r="G26" s="14">
        <v>4.502912621359223E-2</v>
      </c>
      <c r="H26" s="15">
        <v>2342000</v>
      </c>
      <c r="I26" s="15">
        <v>2319000</v>
      </c>
      <c r="J26" s="15">
        <v>49158000</v>
      </c>
      <c r="K26" s="14">
        <v>0.95452427184466015</v>
      </c>
      <c r="L26" s="15">
        <v>49181000</v>
      </c>
      <c r="M26" s="14">
        <v>0.95497087378640777</v>
      </c>
      <c r="N26" s="15">
        <v>49181000</v>
      </c>
      <c r="O26" s="14">
        <v>0.95497087378640777</v>
      </c>
    </row>
    <row r="27" spans="1:15" x14ac:dyDescent="0.25">
      <c r="A27" s="17" t="s">
        <v>53</v>
      </c>
      <c r="B27" s="15">
        <v>236758000</v>
      </c>
      <c r="C27" s="16">
        <v>326785156</v>
      </c>
      <c r="D27" s="16">
        <v>326785155.38</v>
      </c>
      <c r="E27" s="14">
        <v>0.99999999810272899</v>
      </c>
      <c r="F27" s="15">
        <v>326785155.38</v>
      </c>
      <c r="G27" s="14">
        <v>0.99999999810272899</v>
      </c>
      <c r="H27" s="15">
        <v>326785155.38</v>
      </c>
      <c r="I27" s="15">
        <v>326785155.38</v>
      </c>
      <c r="J27" s="15">
        <v>0.62000000476837158</v>
      </c>
      <c r="K27" s="14">
        <v>1.8972710154814118E-9</v>
      </c>
      <c r="L27" s="15">
        <v>0.62000000476837158</v>
      </c>
      <c r="M27" s="14">
        <v>1.8972710154814118E-9</v>
      </c>
      <c r="N27" s="15">
        <v>0.62000000476837158</v>
      </c>
      <c r="O27" s="14">
        <v>1.8972710154814118E-9</v>
      </c>
    </row>
    <row r="28" spans="1:15" s="10" customFormat="1" ht="15.75" customHeight="1" x14ac:dyDescent="0.25">
      <c r="A28" s="19" t="s">
        <v>2</v>
      </c>
      <c r="B28" s="18">
        <v>161536218750</v>
      </c>
      <c r="C28" s="18">
        <v>128314021151</v>
      </c>
      <c r="D28" s="18">
        <v>124873189356.13998</v>
      </c>
      <c r="E28" s="11">
        <v>0.97318428832644222</v>
      </c>
      <c r="F28" s="18">
        <v>124202291642.22</v>
      </c>
      <c r="G28" s="11">
        <v>0.96795572711464395</v>
      </c>
      <c r="H28" s="18">
        <v>127063310781.00999</v>
      </c>
      <c r="I28" s="18">
        <v>121308547875.27</v>
      </c>
      <c r="J28" s="18">
        <v>1250710369.9900026</v>
      </c>
      <c r="K28" s="11">
        <v>9.7472619030321405E-3</v>
      </c>
      <c r="L28" s="18">
        <v>3440831794.8599987</v>
      </c>
      <c r="M28" s="11">
        <v>2.6815711673557688E-2</v>
      </c>
      <c r="N28" s="18">
        <v>4111729508.7799969</v>
      </c>
      <c r="O28" s="11">
        <v>3.2044272885356086E-2</v>
      </c>
    </row>
    <row r="29" spans="1:15" ht="57" x14ac:dyDescent="0.25">
      <c r="A29" s="17" t="s">
        <v>54</v>
      </c>
      <c r="B29" s="15">
        <v>39427254112</v>
      </c>
      <c r="C29" s="16">
        <v>37002355509</v>
      </c>
      <c r="D29" s="16">
        <v>36578161181.220001</v>
      </c>
      <c r="E29" s="14">
        <v>0.98853601826303128</v>
      </c>
      <c r="F29" s="15">
        <v>36111282248.220001</v>
      </c>
      <c r="G29" s="14">
        <v>0.97591847198583714</v>
      </c>
      <c r="H29" s="15">
        <v>36920992687.099998</v>
      </c>
      <c r="I29" s="15">
        <v>35273108294.220001</v>
      </c>
      <c r="J29" s="15">
        <v>81362821.900001526</v>
      </c>
      <c r="K29" s="14">
        <v>2.1988552020752255E-3</v>
      </c>
      <c r="L29" s="15">
        <v>424194327.77999878</v>
      </c>
      <c r="M29" s="14">
        <v>1.1463981736968689E-2</v>
      </c>
      <c r="N29" s="15">
        <v>891073260.77999878</v>
      </c>
      <c r="O29" s="14">
        <v>2.4081528014162908E-2</v>
      </c>
    </row>
    <row r="30" spans="1:15" ht="57" x14ac:dyDescent="0.25">
      <c r="A30" s="17" t="s">
        <v>55</v>
      </c>
      <c r="B30" s="15">
        <v>909785125</v>
      </c>
      <c r="C30" s="16">
        <v>896551997</v>
      </c>
      <c r="D30" s="16">
        <v>892687952.82000005</v>
      </c>
      <c r="E30" s="14">
        <v>0.99569010588016127</v>
      </c>
      <c r="F30" s="15">
        <v>892368084.82000005</v>
      </c>
      <c r="G30" s="14">
        <v>0.99533333014259073</v>
      </c>
      <c r="H30" s="15">
        <v>896551997</v>
      </c>
      <c r="I30" s="15">
        <v>891164154.82000005</v>
      </c>
      <c r="J30" s="15">
        <v>0</v>
      </c>
      <c r="K30" s="14">
        <v>0</v>
      </c>
      <c r="L30" s="15">
        <v>3864044.1799999475</v>
      </c>
      <c r="M30" s="14">
        <v>4.3098941198387039E-3</v>
      </c>
      <c r="N30" s="15">
        <v>4183912.1799999475</v>
      </c>
      <c r="O30" s="14">
        <v>4.666669857409227E-3</v>
      </c>
    </row>
    <row r="31" spans="1:15" ht="57" x14ac:dyDescent="0.25">
      <c r="A31" s="17" t="s">
        <v>56</v>
      </c>
      <c r="B31" s="15">
        <v>3601793401</v>
      </c>
      <c r="C31" s="16">
        <v>3499423439</v>
      </c>
      <c r="D31" s="16">
        <v>3462857243</v>
      </c>
      <c r="E31" s="14">
        <v>0.98955079411297275</v>
      </c>
      <c r="F31" s="15">
        <v>3458295942</v>
      </c>
      <c r="G31" s="14">
        <v>0.98824735053733515</v>
      </c>
      <c r="H31" s="15">
        <v>3496785424</v>
      </c>
      <c r="I31" s="15">
        <v>3332022153</v>
      </c>
      <c r="J31" s="15">
        <v>2638015</v>
      </c>
      <c r="K31" s="14">
        <v>7.5384275323761411E-4</v>
      </c>
      <c r="L31" s="15">
        <v>36566196</v>
      </c>
      <c r="M31" s="14">
        <v>1.0449205887027265E-2</v>
      </c>
      <c r="N31" s="15">
        <v>41127497</v>
      </c>
      <c r="O31" s="14">
        <v>1.1752649462664813E-2</v>
      </c>
    </row>
    <row r="32" spans="1:15" ht="56.25" customHeight="1" x14ac:dyDescent="0.25">
      <c r="A32" s="17" t="s">
        <v>57</v>
      </c>
      <c r="B32" s="15">
        <v>2591894878</v>
      </c>
      <c r="C32" s="16">
        <v>2545397924</v>
      </c>
      <c r="D32" s="16">
        <v>2529845782.71</v>
      </c>
      <c r="E32" s="14">
        <v>0.99389009429788477</v>
      </c>
      <c r="F32" s="15">
        <v>2518448433.71</v>
      </c>
      <c r="G32" s="14">
        <v>0.98941246473256728</v>
      </c>
      <c r="H32" s="15">
        <v>2541001192.1300001</v>
      </c>
      <c r="I32" s="15">
        <v>2517543859.71</v>
      </c>
      <c r="J32" s="15">
        <v>4396731.8699998856</v>
      </c>
      <c r="K32" s="14">
        <v>1.7273259432421403E-3</v>
      </c>
      <c r="L32" s="15">
        <v>15552141.289999962</v>
      </c>
      <c r="M32" s="14">
        <v>6.1099057021152666E-3</v>
      </c>
      <c r="N32" s="15">
        <v>26949490.289999962</v>
      </c>
      <c r="O32" s="14">
        <v>1.0587535267432693E-2</v>
      </c>
    </row>
    <row r="33" spans="1:15" ht="57" x14ac:dyDescent="0.25">
      <c r="A33" s="17" t="s">
        <v>58</v>
      </c>
      <c r="B33" s="15">
        <v>8032499000</v>
      </c>
      <c r="C33" s="16">
        <v>7823960504</v>
      </c>
      <c r="D33" s="16">
        <v>7685120146.6000004</v>
      </c>
      <c r="E33" s="14">
        <v>0.98225446596656296</v>
      </c>
      <c r="F33" s="15">
        <v>7676436356.6000004</v>
      </c>
      <c r="G33" s="14">
        <v>0.9811445690038213</v>
      </c>
      <c r="H33" s="15">
        <v>7764672826</v>
      </c>
      <c r="I33" s="15">
        <v>7601233048.6000004</v>
      </c>
      <c r="J33" s="15">
        <v>59287678</v>
      </c>
      <c r="K33" s="14">
        <v>7.5777067087300825E-3</v>
      </c>
      <c r="L33" s="15">
        <v>138840357.39999962</v>
      </c>
      <c r="M33" s="14">
        <v>1.774553403343709E-2</v>
      </c>
      <c r="N33" s="15">
        <v>147524147.39999962</v>
      </c>
      <c r="O33" s="14">
        <v>1.8855430996178712E-2</v>
      </c>
    </row>
    <row r="34" spans="1:15" ht="61.5" customHeight="1" x14ac:dyDescent="0.25">
      <c r="A34" s="17" t="s">
        <v>59</v>
      </c>
      <c r="B34" s="15">
        <v>8791562000</v>
      </c>
      <c r="C34" s="16">
        <v>7888064063</v>
      </c>
      <c r="D34" s="16">
        <v>7847869763.7299995</v>
      </c>
      <c r="E34" s="14">
        <v>0.99490441520898176</v>
      </c>
      <c r="F34" s="15">
        <v>7816865613.7299995</v>
      </c>
      <c r="G34" s="14">
        <v>0.99097390073136371</v>
      </c>
      <c r="H34" s="15">
        <v>7877911563</v>
      </c>
      <c r="I34" s="15">
        <v>7630221576.7299995</v>
      </c>
      <c r="J34" s="15">
        <v>10152500</v>
      </c>
      <c r="K34" s="14">
        <v>1.287071189954153E-3</v>
      </c>
      <c r="L34" s="15">
        <v>40194299.270000458</v>
      </c>
      <c r="M34" s="14">
        <v>5.0955847910182546E-3</v>
      </c>
      <c r="N34" s="15">
        <v>71198449.270000458</v>
      </c>
      <c r="O34" s="14">
        <v>9.0260992686362843E-3</v>
      </c>
    </row>
    <row r="35" spans="1:15" ht="69.75" customHeight="1" x14ac:dyDescent="0.25">
      <c r="A35" s="17" t="s">
        <v>60</v>
      </c>
      <c r="B35" s="15">
        <v>5305076993</v>
      </c>
      <c r="C35" s="16">
        <v>8511365915</v>
      </c>
      <c r="D35" s="16">
        <v>8094832690.8999996</v>
      </c>
      <c r="E35" s="14">
        <v>0.95106153016334039</v>
      </c>
      <c r="F35" s="15">
        <v>8079988667.8999996</v>
      </c>
      <c r="G35" s="14">
        <v>0.94931750656615965</v>
      </c>
      <c r="H35" s="15">
        <v>8183523057</v>
      </c>
      <c r="I35" s="15">
        <v>7924264623.8999996</v>
      </c>
      <c r="J35" s="15">
        <v>327842858</v>
      </c>
      <c r="K35" s="14">
        <v>3.8518242697359109E-2</v>
      </c>
      <c r="L35" s="15">
        <v>416533224.10000038</v>
      </c>
      <c r="M35" s="14">
        <v>4.8938469836659629E-2</v>
      </c>
      <c r="N35" s="15">
        <v>431377247.10000038</v>
      </c>
      <c r="O35" s="14">
        <v>5.0682493433840389E-2</v>
      </c>
    </row>
    <row r="36" spans="1:15" ht="99.75" x14ac:dyDescent="0.25">
      <c r="A36" s="17" t="s">
        <v>61</v>
      </c>
      <c r="B36" s="15">
        <v>4769339865</v>
      </c>
      <c r="C36" s="16">
        <v>4664687792</v>
      </c>
      <c r="D36" s="16">
        <v>4619800951.7399998</v>
      </c>
      <c r="E36" s="14">
        <v>0.99037731092379178</v>
      </c>
      <c r="F36" s="15">
        <v>4615012836.7399998</v>
      </c>
      <c r="G36" s="14">
        <v>0.98935085101618303</v>
      </c>
      <c r="H36" s="15">
        <v>4646970303</v>
      </c>
      <c r="I36" s="15">
        <v>4420038823.7399998</v>
      </c>
      <c r="J36" s="15">
        <v>17717489</v>
      </c>
      <c r="K36" s="14">
        <v>3.7982153983350661E-3</v>
      </c>
      <c r="L36" s="15">
        <v>44886840.260000229</v>
      </c>
      <c r="M36" s="14">
        <v>9.6226890762082171E-3</v>
      </c>
      <c r="N36" s="15">
        <v>49674955.260000229</v>
      </c>
      <c r="O36" s="14">
        <v>1.0649148983816971E-2</v>
      </c>
    </row>
    <row r="37" spans="1:15" ht="57" x14ac:dyDescent="0.25">
      <c r="A37" s="17" t="s">
        <v>62</v>
      </c>
      <c r="B37" s="15">
        <v>30262520191</v>
      </c>
      <c r="C37" s="16">
        <v>0</v>
      </c>
      <c r="D37" s="16">
        <v>0</v>
      </c>
      <c r="E37" s="14">
        <v>0</v>
      </c>
      <c r="F37" s="15">
        <v>0</v>
      </c>
      <c r="G37" s="14">
        <v>0</v>
      </c>
      <c r="H37" s="15">
        <v>0</v>
      </c>
      <c r="I37" s="15">
        <v>0</v>
      </c>
      <c r="J37" s="15">
        <v>0</v>
      </c>
      <c r="K37" s="14">
        <v>0</v>
      </c>
      <c r="L37" s="15">
        <v>0</v>
      </c>
      <c r="M37" s="14">
        <v>0</v>
      </c>
      <c r="N37" s="15">
        <v>0</v>
      </c>
      <c r="O37" s="14">
        <v>0</v>
      </c>
    </row>
    <row r="38" spans="1:15" ht="57" x14ac:dyDescent="0.25">
      <c r="A38" s="17" t="s">
        <v>63</v>
      </c>
      <c r="B38" s="15">
        <v>28050706799</v>
      </c>
      <c r="C38" s="16">
        <v>26921223108</v>
      </c>
      <c r="D38" s="16">
        <v>25819904962.709999</v>
      </c>
      <c r="E38" s="14">
        <v>0</v>
      </c>
      <c r="F38" s="15">
        <v>25696484777.790001</v>
      </c>
      <c r="G38" s="14">
        <v>0</v>
      </c>
      <c r="H38" s="15">
        <v>26881447646</v>
      </c>
      <c r="I38" s="15">
        <v>24930486557.220001</v>
      </c>
      <c r="J38" s="15">
        <v>39775462</v>
      </c>
      <c r="K38" s="14">
        <v>0</v>
      </c>
      <c r="L38" s="15">
        <v>1101318145.2900009</v>
      </c>
      <c r="M38" s="14">
        <v>0</v>
      </c>
      <c r="N38" s="15">
        <v>1224738330.2099991</v>
      </c>
      <c r="O38" s="14">
        <v>0</v>
      </c>
    </row>
    <row r="39" spans="1:15" ht="71.25" x14ac:dyDescent="0.25">
      <c r="A39" s="17" t="s">
        <v>64</v>
      </c>
      <c r="B39" s="15">
        <v>25661863246</v>
      </c>
      <c r="C39" s="16">
        <v>25054430880</v>
      </c>
      <c r="D39" s="16">
        <v>23886883868.060001</v>
      </c>
      <c r="E39" s="14">
        <v>0.95339957959803401</v>
      </c>
      <c r="F39" s="15">
        <v>23886883868.060001</v>
      </c>
      <c r="G39" s="14">
        <v>0.95339957959803401</v>
      </c>
      <c r="H39" s="15">
        <v>24350973064.779999</v>
      </c>
      <c r="I39" s="15">
        <v>23592910831.16</v>
      </c>
      <c r="J39" s="15">
        <v>703457815.22000122</v>
      </c>
      <c r="K39" s="14">
        <v>2.8077181979876655E-2</v>
      </c>
      <c r="L39" s="15">
        <v>1167547011.9399986</v>
      </c>
      <c r="M39" s="14">
        <v>4.6600420401965985E-2</v>
      </c>
      <c r="N39" s="15">
        <v>1167547011.9399986</v>
      </c>
      <c r="O39" s="14">
        <v>4.6600420401965985E-2</v>
      </c>
    </row>
    <row r="40" spans="1:15" ht="69" customHeight="1" x14ac:dyDescent="0.25">
      <c r="A40" s="17" t="s">
        <v>65</v>
      </c>
      <c r="B40" s="15">
        <v>773529015</v>
      </c>
      <c r="C40" s="16">
        <v>586063519</v>
      </c>
      <c r="D40" s="16">
        <v>582300786</v>
      </c>
      <c r="E40" s="14">
        <v>0.99357964985361935</v>
      </c>
      <c r="F40" s="15">
        <v>582300786</v>
      </c>
      <c r="G40" s="14">
        <v>0.99357964985361935</v>
      </c>
      <c r="H40" s="15">
        <v>586063519</v>
      </c>
      <c r="I40" s="15">
        <v>410965359.51999998</v>
      </c>
      <c r="J40" s="15">
        <v>0</v>
      </c>
      <c r="K40" s="14">
        <v>0</v>
      </c>
      <c r="L40" s="15">
        <v>3762733</v>
      </c>
      <c r="M40" s="14">
        <v>6.4203501463806351E-3</v>
      </c>
      <c r="N40" s="15">
        <v>3762733</v>
      </c>
      <c r="O40" s="14">
        <v>6.4203501463806351E-3</v>
      </c>
    </row>
    <row r="41" spans="1:15" ht="57" x14ac:dyDescent="0.25">
      <c r="A41" s="17" t="s">
        <v>66</v>
      </c>
      <c r="B41" s="15">
        <v>3358394125</v>
      </c>
      <c r="C41" s="16">
        <v>2920496501</v>
      </c>
      <c r="D41" s="16">
        <v>2872924026.6500001</v>
      </c>
      <c r="E41" s="14">
        <v>0.98371082645238206</v>
      </c>
      <c r="F41" s="15">
        <v>2867924026.6500001</v>
      </c>
      <c r="G41" s="14">
        <v>0.98199878879087898</v>
      </c>
      <c r="H41" s="15">
        <v>2916417502</v>
      </c>
      <c r="I41" s="15">
        <v>2784588592.6500001</v>
      </c>
      <c r="J41" s="15">
        <v>4078999</v>
      </c>
      <c r="K41" s="14">
        <v>1.3966799818466895E-3</v>
      </c>
      <c r="L41" s="15">
        <v>47572474.349999905</v>
      </c>
      <c r="M41" s="14">
        <v>1.6289173547617924E-2</v>
      </c>
      <c r="N41" s="15">
        <v>52572474.349999905</v>
      </c>
      <c r="O41" s="14">
        <v>1.8001211209121015E-2</v>
      </c>
    </row>
    <row r="42" spans="1:15" ht="57" x14ac:dyDescent="0.25">
      <c r="A42" s="17" t="s">
        <v>1</v>
      </c>
      <c r="B42" s="15">
        <v>0</v>
      </c>
      <c r="C42" s="16">
        <v>0</v>
      </c>
      <c r="D42" s="16">
        <v>0</v>
      </c>
      <c r="E42" s="14">
        <v>0</v>
      </c>
      <c r="F42" s="15">
        <v>0</v>
      </c>
      <c r="G42" s="14">
        <v>0</v>
      </c>
      <c r="H42" s="15">
        <v>0</v>
      </c>
      <c r="I42" s="15">
        <v>0</v>
      </c>
      <c r="J42" s="15">
        <v>0</v>
      </c>
      <c r="K42" s="14">
        <v>0</v>
      </c>
      <c r="L42" s="15">
        <v>0</v>
      </c>
      <c r="M42" s="14">
        <v>0</v>
      </c>
      <c r="N42" s="15">
        <v>0</v>
      </c>
      <c r="O42" s="14">
        <v>0</v>
      </c>
    </row>
    <row r="43" spans="1:15" s="10" customFormat="1" ht="15.75" x14ac:dyDescent="0.25">
      <c r="A43" s="13" t="s">
        <v>0</v>
      </c>
      <c r="B43" s="12">
        <v>240291898618</v>
      </c>
      <c r="C43" s="12">
        <v>207069701019</v>
      </c>
      <c r="D43" s="12">
        <v>197919907835.65997</v>
      </c>
      <c r="E43" s="11">
        <v>0.95581297921273145</v>
      </c>
      <c r="F43" s="12">
        <v>196800500616.54999</v>
      </c>
      <c r="G43" s="11">
        <v>0.95040703515813862</v>
      </c>
      <c r="H43" s="12">
        <v>201681891462.69</v>
      </c>
      <c r="I43" s="12">
        <v>193231125297.60001</v>
      </c>
      <c r="J43" s="12">
        <v>5387809556.3100033</v>
      </c>
      <c r="K43" s="11">
        <v>2.6019304271925503E-2</v>
      </c>
      <c r="L43" s="12">
        <v>9149793183.3400002</v>
      </c>
      <c r="M43" s="11">
        <v>4.4187020787268376E-2</v>
      </c>
      <c r="N43" s="12">
        <v>10269200402.449997</v>
      </c>
      <c r="O43" s="11">
        <v>4.9592964841861292E-2</v>
      </c>
    </row>
    <row r="44" spans="1:15" s="6" customFormat="1" x14ac:dyDescent="0.25">
      <c r="B44" s="8">
        <v>99797015618</v>
      </c>
      <c r="C44" s="9">
        <v>66574818019</v>
      </c>
      <c r="D44" s="9">
        <v>145236192641.10999</v>
      </c>
      <c r="E44" s="7">
        <v>0.95581297921273145</v>
      </c>
      <c r="F44" s="8">
        <v>191879250377.34998</v>
      </c>
      <c r="G44" s="7">
        <v>0.95040703515813862</v>
      </c>
      <c r="H44" s="8">
        <v>92670338028.610001</v>
      </c>
      <c r="I44" s="8">
        <v>188958752256.14001</v>
      </c>
      <c r="J44" s="8">
        <v>0</v>
      </c>
      <c r="K44" s="7">
        <v>2.6019304271925503E-2</v>
      </c>
      <c r="L44" s="8">
        <v>0</v>
      </c>
      <c r="M44" s="7">
        <v>4.4187020787268376E-2</v>
      </c>
      <c r="N44" s="8">
        <v>0</v>
      </c>
      <c r="O44" s="7">
        <v>4.9592964841861292E-2</v>
      </c>
    </row>
    <row r="45" spans="1:15" x14ac:dyDescent="0.25">
      <c r="C45" s="4"/>
      <c r="F45" s="5"/>
    </row>
    <row r="47" spans="1:15" x14ac:dyDescent="0.25">
      <c r="C47" s="4"/>
    </row>
  </sheetData>
  <sheetProtection password="910A"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72"/>
  <sheetViews>
    <sheetView topLeftCell="A7" zoomScale="120" zoomScaleNormal="120" workbookViewId="0">
      <selection activeCell="I12" sqref="I12:I15"/>
    </sheetView>
  </sheetViews>
  <sheetFormatPr baseColWidth="10" defaultRowHeight="15" x14ac:dyDescent="0.25"/>
  <cols>
    <col min="1" max="1" width="11.42578125" style="36"/>
    <col min="2" max="2" width="24.85546875" style="37" bestFit="1" customWidth="1"/>
    <col min="3" max="9" width="20.140625" style="37" customWidth="1"/>
    <col min="10" max="10" width="18" style="36" bestFit="1" customWidth="1"/>
    <col min="11" max="11" width="17.5703125" style="36" bestFit="1" customWidth="1"/>
    <col min="12" max="12" width="17.85546875" style="36" bestFit="1" customWidth="1"/>
    <col min="13" max="13" width="11.42578125" style="36"/>
    <col min="14" max="16384" width="11.42578125" style="37"/>
  </cols>
  <sheetData>
    <row r="1" spans="1:13" s="36" customFormat="1" ht="20.25" x14ac:dyDescent="0.25">
      <c r="B1" s="31"/>
      <c r="D1" s="35" t="s">
        <v>24</v>
      </c>
    </row>
    <row r="2" spans="1:13" s="36" customFormat="1" x14ac:dyDescent="0.25">
      <c r="B2" s="31"/>
      <c r="D2" s="31"/>
    </row>
    <row r="3" spans="1:13" s="36" customFormat="1" x14ac:dyDescent="0.25">
      <c r="B3" s="31"/>
      <c r="D3" s="33" t="s">
        <v>25</v>
      </c>
    </row>
    <row r="4" spans="1:13" s="36" customFormat="1" x14ac:dyDescent="0.25">
      <c r="B4" s="31"/>
      <c r="D4" s="34" t="s">
        <v>26</v>
      </c>
    </row>
    <row r="5" spans="1:13" s="36" customFormat="1" x14ac:dyDescent="0.25">
      <c r="B5" s="31"/>
      <c r="D5" s="33" t="s">
        <v>22</v>
      </c>
    </row>
    <row r="6" spans="1:13" s="36" customFormat="1" x14ac:dyDescent="0.25">
      <c r="B6" s="31"/>
      <c r="D6" s="32"/>
    </row>
    <row r="7" spans="1:13" s="36" customFormat="1" x14ac:dyDescent="0.25"/>
    <row r="8" spans="1:13" x14ac:dyDescent="0.25">
      <c r="B8" s="85" t="s">
        <v>27</v>
      </c>
      <c r="C8" s="85"/>
      <c r="D8" s="85"/>
      <c r="E8" s="85"/>
      <c r="F8" s="85"/>
      <c r="G8" s="85"/>
      <c r="H8" s="85"/>
      <c r="I8" s="85"/>
    </row>
    <row r="9" spans="1:13" ht="15.75" customHeight="1" thickBot="1" x14ac:dyDescent="0.3">
      <c r="B9" s="85"/>
      <c r="C9" s="85"/>
      <c r="D9" s="85"/>
      <c r="E9" s="85"/>
      <c r="F9" s="85"/>
      <c r="G9" s="85"/>
      <c r="H9" s="85"/>
      <c r="I9" s="85"/>
    </row>
    <row r="10" spans="1:13" s="39" customFormat="1" ht="17.25" thickBot="1" x14ac:dyDescent="0.35">
      <c r="A10" s="38"/>
      <c r="B10" s="38"/>
      <c r="C10" s="38"/>
      <c r="D10" s="38"/>
      <c r="E10" s="86" t="s">
        <v>28</v>
      </c>
      <c r="F10" s="87"/>
      <c r="G10" s="88" t="s">
        <v>29</v>
      </c>
      <c r="H10" s="89"/>
      <c r="I10" s="90" t="s">
        <v>30</v>
      </c>
      <c r="J10" s="38"/>
      <c r="K10" s="38"/>
      <c r="L10" s="38"/>
      <c r="M10" s="38"/>
    </row>
    <row r="11" spans="1:13" s="39" customFormat="1" ht="17.25" thickBot="1" x14ac:dyDescent="0.35">
      <c r="A11" s="38"/>
      <c r="B11" s="40" t="s">
        <v>21</v>
      </c>
      <c r="C11" s="40" t="s">
        <v>31</v>
      </c>
      <c r="D11" s="40" t="s">
        <v>32</v>
      </c>
      <c r="E11" s="41" t="s">
        <v>33</v>
      </c>
      <c r="F11" s="41" t="s">
        <v>34</v>
      </c>
      <c r="G11" s="42" t="s">
        <v>33</v>
      </c>
      <c r="H11" s="43" t="s">
        <v>34</v>
      </c>
      <c r="I11" s="91"/>
      <c r="J11" s="44" t="s">
        <v>35</v>
      </c>
      <c r="K11" s="38"/>
      <c r="L11" s="38"/>
      <c r="M11" s="38"/>
    </row>
    <row r="12" spans="1:13" s="39" customFormat="1" ht="16.5" x14ac:dyDescent="0.3">
      <c r="A12" s="38"/>
      <c r="B12" s="45" t="s">
        <v>6</v>
      </c>
      <c r="C12" s="46">
        <f>SUM(C13:C15)</f>
        <v>78755679868</v>
      </c>
      <c r="D12" s="46">
        <f>SUM(D13:D15)</f>
        <v>78755679868</v>
      </c>
      <c r="E12" s="46">
        <f>SUM(E13:E15)</f>
        <v>73046718479.519989</v>
      </c>
      <c r="F12" s="47">
        <f t="shared" ref="F12:F15" si="0">E12/D12</f>
        <v>0.92751048053869101</v>
      </c>
      <c r="G12" s="92">
        <f>+H12*D12</f>
        <v>76584548041.080826</v>
      </c>
      <c r="H12" s="76">
        <f>+#REF!</f>
        <v>0.97243206038525543</v>
      </c>
      <c r="I12" s="79">
        <f>+IF(OR(F12/H12&gt;100%,F12/H12=100%),"CUMPLIDO",F12/H12)</f>
        <v>0.95380491689181091</v>
      </c>
      <c r="J12" s="82">
        <f>IF(+G12-E12&gt;0,G12-E12,"CUMPLIDO")</f>
        <v>3537829561.5608368</v>
      </c>
      <c r="K12" s="38"/>
      <c r="L12" s="38"/>
      <c r="M12" s="38"/>
    </row>
    <row r="13" spans="1:13" s="39" customFormat="1" ht="16.5" x14ac:dyDescent="0.3">
      <c r="A13" s="38"/>
      <c r="B13" s="48" t="s">
        <v>5</v>
      </c>
      <c r="C13" s="49">
        <f>+GETPIVOTDATA("Suma de APR. INICIAL",#REF!,"TIPO","A","CTA","01")</f>
        <v>58763996000</v>
      </c>
      <c r="D13" s="49">
        <f>+GETPIVOTDATA("Suma de APR. VIGENTE",#REF!,"TIPO","A","CTA","01")</f>
        <v>58763996000</v>
      </c>
      <c r="E13" s="49">
        <f>+GETPIVOTDATA("Suma de COMPROMISO",#REF!,"TIPO","A","CTA","01")</f>
        <v>57273008670</v>
      </c>
      <c r="F13" s="50">
        <f t="shared" si="0"/>
        <v>0.9746275367318451</v>
      </c>
      <c r="G13" s="93"/>
      <c r="H13" s="77"/>
      <c r="I13" s="80"/>
      <c r="J13" s="83"/>
      <c r="K13" s="51"/>
      <c r="L13" s="38"/>
      <c r="M13" s="38"/>
    </row>
    <row r="14" spans="1:13" s="39" customFormat="1" ht="16.5" x14ac:dyDescent="0.3">
      <c r="A14" s="38"/>
      <c r="B14" s="48" t="s">
        <v>4</v>
      </c>
      <c r="C14" s="49">
        <f>+GETPIVOTDATA("Suma de APR. INICIAL",#REF!,"TIPO","A","CTA","02")</f>
        <v>12676328868</v>
      </c>
      <c r="D14" s="49">
        <f>+GETPIVOTDATA("Suma de APR. VIGENTE",#REF!,"TIPO","A","CTA","02")</f>
        <v>12522288437</v>
      </c>
      <c r="E14" s="49">
        <f>+GETPIVOTDATA("Suma de COMPROMISO",#REF!,"TIPO","A","CTA","02")</f>
        <v>11794949975.959999</v>
      </c>
      <c r="F14" s="50">
        <f t="shared" si="0"/>
        <v>0.94191649036841296</v>
      </c>
      <c r="G14" s="93"/>
      <c r="H14" s="77"/>
      <c r="I14" s="80"/>
      <c r="J14" s="83"/>
      <c r="K14" s="51"/>
      <c r="L14" s="38"/>
      <c r="M14" s="38"/>
    </row>
    <row r="15" spans="1:13" s="39" customFormat="1" ht="17.25" thickBot="1" x14ac:dyDescent="0.35">
      <c r="A15" s="38"/>
      <c r="B15" s="52" t="s">
        <v>3</v>
      </c>
      <c r="C15" s="53">
        <f>+GETPIVOTDATA("Suma de APR. INICIAL",#REF!,"TIPO","A","CTA","03")+GETPIVOTDATA("Suma de APR. INICIAL",#REF!,"TIPO","A","CTA","08")</f>
        <v>7315355000</v>
      </c>
      <c r="D15" s="53">
        <f>+GETPIVOTDATA("Suma de APR. VIGENTE",#REF!,"TIPO","A","CTA","03")+GETPIVOTDATA("Suma de APR. VIGENTE",#REF!,"TIPO","A","CTA","08")</f>
        <v>7469395431</v>
      </c>
      <c r="E15" s="53">
        <f>+GETPIVOTDATA("Suma de COMPROMISO",#REF!,"TIPO","A","CTA","03")+GETPIVOTDATA("Suma de COMPROMISO",#REF!,"TIPO","A","CTA","08")</f>
        <v>3978759833.5600004</v>
      </c>
      <c r="F15" s="54">
        <f t="shared" si="0"/>
        <v>0.53267494944063032</v>
      </c>
      <c r="G15" s="94"/>
      <c r="H15" s="78"/>
      <c r="I15" s="81"/>
      <c r="J15" s="84"/>
      <c r="K15" s="38"/>
      <c r="L15" s="38"/>
      <c r="M15" s="38"/>
    </row>
    <row r="16" spans="1:13" s="39" customFormat="1" ht="17.25" thickBot="1" x14ac:dyDescent="0.35">
      <c r="A16" s="38"/>
      <c r="B16" s="55" t="s">
        <v>36</v>
      </c>
      <c r="C16" s="56">
        <f>+GETPIVOTDATA("Suma de APR. INICIAL",#REF!,"TIPO","C")</f>
        <v>161536218750</v>
      </c>
      <c r="D16" s="56">
        <f>+GETPIVOTDATA("Suma de APR. VIGENTE",#REF!,"TIPO","C")</f>
        <v>128314021151</v>
      </c>
      <c r="E16" s="56">
        <f>+GETPIVOTDATA("Suma de COMPROMISO",#REF!,"TIPO","C")</f>
        <v>124873189356.13998</v>
      </c>
      <c r="F16" s="57">
        <f>E16/D16</f>
        <v>0.97318428832644222</v>
      </c>
      <c r="G16" s="56">
        <f>+H16*D16</f>
        <v>128314021151</v>
      </c>
      <c r="H16" s="57">
        <f>+#REF!</f>
        <v>1</v>
      </c>
      <c r="I16" s="58">
        <f>+IF(OR(F16/H16&gt;100%,F16/H16=100%),"CUMPLIDO",F16/H16)</f>
        <v>0.97318428832644222</v>
      </c>
      <c r="J16" s="59">
        <f>IF(+G16-E16&gt;0,G16-E16,"CUMPLIDO")</f>
        <v>3440831794.8600159</v>
      </c>
      <c r="K16" s="38"/>
      <c r="L16" s="38"/>
      <c r="M16" s="38"/>
    </row>
    <row r="17" spans="1:13" s="39" customFormat="1" ht="17.25" thickBot="1" x14ac:dyDescent="0.35">
      <c r="A17" s="38"/>
      <c r="B17" s="60" t="s">
        <v>0</v>
      </c>
      <c r="C17" s="61">
        <f>C12+C16</f>
        <v>240291898618</v>
      </c>
      <c r="D17" s="61">
        <f>D12+D16</f>
        <v>207069701019</v>
      </c>
      <c r="E17" s="62">
        <f>E12+E16</f>
        <v>197919907835.65997</v>
      </c>
      <c r="F17" s="63">
        <f>E17/D17</f>
        <v>0.95581297921273145</v>
      </c>
      <c r="G17" s="64">
        <f>+G16+G12</f>
        <v>204898569192.08081</v>
      </c>
      <c r="H17" s="65">
        <f>+#REF!</f>
        <v>0.9895149709675779</v>
      </c>
      <c r="I17" s="66">
        <f>+IF(OR(F17/H17&gt;100%,F17/H17=100%),"CUMPLIDO",F17/H17)</f>
        <v>0.9659408975673287</v>
      </c>
      <c r="J17" s="67">
        <f>IF(+G17-E17&gt;0,G17-E17,"CUMPLIDO")</f>
        <v>6978661356.4208374</v>
      </c>
      <c r="K17" s="51"/>
      <c r="L17" s="38"/>
      <c r="M17" s="38"/>
    </row>
    <row r="18" spans="1:13" s="36" customFormat="1" x14ac:dyDescent="0.25">
      <c r="H18" s="68"/>
      <c r="I18" s="69"/>
    </row>
    <row r="19" spans="1:13" ht="15" customHeight="1" x14ac:dyDescent="0.25">
      <c r="B19" s="85" t="s">
        <v>37</v>
      </c>
      <c r="C19" s="85"/>
      <c r="D19" s="85"/>
      <c r="E19" s="85"/>
      <c r="F19" s="85"/>
      <c r="G19" s="85"/>
      <c r="H19" s="85"/>
      <c r="I19" s="85"/>
      <c r="K19" s="70"/>
    </row>
    <row r="20" spans="1:13" ht="15.75" customHeight="1" thickBot="1" x14ac:dyDescent="0.3">
      <c r="B20" s="85"/>
      <c r="C20" s="85"/>
      <c r="D20" s="85"/>
      <c r="E20" s="85"/>
      <c r="F20" s="85"/>
      <c r="G20" s="85"/>
      <c r="H20" s="85"/>
      <c r="I20" s="85"/>
      <c r="K20" s="71"/>
      <c r="L20" s="70"/>
    </row>
    <row r="21" spans="1:13" ht="17.25" thickBot="1" x14ac:dyDescent="0.35">
      <c r="B21" s="38"/>
      <c r="C21" s="38"/>
      <c r="D21" s="38"/>
      <c r="E21" s="86" t="s">
        <v>28</v>
      </c>
      <c r="F21" s="87"/>
      <c r="G21" s="88" t="s">
        <v>29</v>
      </c>
      <c r="H21" s="89"/>
      <c r="I21" s="90" t="s">
        <v>30</v>
      </c>
      <c r="L21" s="70"/>
    </row>
    <row r="22" spans="1:13" ht="17.25" thickBot="1" x14ac:dyDescent="0.3">
      <c r="B22" s="40" t="s">
        <v>21</v>
      </c>
      <c r="C22" s="40" t="s">
        <v>31</v>
      </c>
      <c r="D22" s="40" t="s">
        <v>32</v>
      </c>
      <c r="E22" s="41" t="s">
        <v>33</v>
      </c>
      <c r="F22" s="41" t="s">
        <v>34</v>
      </c>
      <c r="G22" s="42" t="s">
        <v>33</v>
      </c>
      <c r="H22" s="43" t="s">
        <v>34</v>
      </c>
      <c r="I22" s="91"/>
      <c r="J22" s="44" t="s">
        <v>35</v>
      </c>
      <c r="L22" s="70"/>
    </row>
    <row r="23" spans="1:13" ht="16.5" x14ac:dyDescent="0.3">
      <c r="B23" s="45" t="s">
        <v>6</v>
      </c>
      <c r="C23" s="46">
        <f>SUM(C24:C26)</f>
        <v>78755679868</v>
      </c>
      <c r="D23" s="46">
        <f>SUM(D24:D26)</f>
        <v>78755679868</v>
      </c>
      <c r="E23" s="46">
        <f>SUM(E24:E26)</f>
        <v>72598208974.330002</v>
      </c>
      <c r="F23" s="47">
        <f>E23/D23</f>
        <v>0.92181553249250914</v>
      </c>
      <c r="G23" s="73">
        <f>+H23*D23</f>
        <v>75792957632.52562</v>
      </c>
      <c r="H23" s="76">
        <f>+#REF!</f>
        <v>0.96238084363641951</v>
      </c>
      <c r="I23" s="79">
        <f>+IF(OR(F23/H23&gt;100%,F23/H23=100%),"CUMPLIDO",F23/H23)</f>
        <v>0.95784900394460093</v>
      </c>
      <c r="J23" s="82">
        <f>IF(+G23-E23&gt;0,G23-E23,"CUMPLIDO")</f>
        <v>3194748658.1956177</v>
      </c>
      <c r="K23" s="69"/>
    </row>
    <row r="24" spans="1:13" ht="16.5" x14ac:dyDescent="0.3">
      <c r="B24" s="48" t="s">
        <v>5</v>
      </c>
      <c r="C24" s="49">
        <f>+GETPIVOTDATA("Suma de APR. INICIAL",#REF!,"TIPO","A","CTA","01")</f>
        <v>58763996000</v>
      </c>
      <c r="D24" s="49">
        <f>+GETPIVOTDATA("Suma de APR. VIGENTE",#REF!,"TIPO","A","CTA","01")</f>
        <v>58763996000</v>
      </c>
      <c r="E24" s="49">
        <f>+GETPIVOTDATA("Suma de OBLIGACION",#REF!,"TIPO","A","CTA","01")</f>
        <v>57273008670</v>
      </c>
      <c r="F24" s="50">
        <f t="shared" ref="F24:F28" si="1">E24/D24</f>
        <v>0.9746275367318451</v>
      </c>
      <c r="G24" s="74"/>
      <c r="H24" s="77"/>
      <c r="I24" s="80"/>
      <c r="J24" s="83"/>
    </row>
    <row r="25" spans="1:13" ht="16.5" x14ac:dyDescent="0.3">
      <c r="B25" s="48" t="s">
        <v>4</v>
      </c>
      <c r="C25" s="49">
        <f>+GETPIVOTDATA("Suma de APR. INICIAL",#REF!,"TIPO","A","CTA","02")</f>
        <v>12676328868</v>
      </c>
      <c r="D25" s="49">
        <f>+GETPIVOTDATA("Suma de APR. VIGENTE",#REF!,"TIPO","A","CTA","02")</f>
        <v>12522288437</v>
      </c>
      <c r="E25" s="49">
        <f>+GETPIVOTDATA("Suma de OBLIGACION",#REF!,"TIPO","A","CTA","02")</f>
        <v>11346617868.959999</v>
      </c>
      <c r="F25" s="50">
        <f t="shared" si="1"/>
        <v>0.90611376075907901</v>
      </c>
      <c r="G25" s="74"/>
      <c r="H25" s="77"/>
      <c r="I25" s="80"/>
      <c r="J25" s="83"/>
    </row>
    <row r="26" spans="1:13" ht="17.25" thickBot="1" x14ac:dyDescent="0.35">
      <c r="B26" s="52" t="s">
        <v>3</v>
      </c>
      <c r="C26" s="53">
        <f>+GETPIVOTDATA("Suma de APR. INICIAL",#REF!,"TIPO","A","CTA","03")+GETPIVOTDATA("Suma de APR. INICIAL",#REF!,"TIPO","A","CTA","08")</f>
        <v>7315355000</v>
      </c>
      <c r="D26" s="53">
        <f>+GETPIVOTDATA("Suma de APR. VIGENTE",#REF!,"TIPO","A","CTA","03")+GETPIVOTDATA("Suma de APR. VIGENTE",#REF!,"TIPO","A","CTA","08")</f>
        <v>7469395431</v>
      </c>
      <c r="E26" s="53">
        <f>+GETPIVOTDATA("Suma de OBLIGACION",#REF!,"TIPO","A","CTA","03")+GETPIVOTDATA("Suma de OBLIGACION",#REF!,"TIPO","A","CTA","08")</f>
        <v>3978582435.3699999</v>
      </c>
      <c r="F26" s="54">
        <f>E26/D26</f>
        <v>0.5326511994341353</v>
      </c>
      <c r="G26" s="75"/>
      <c r="H26" s="78"/>
      <c r="I26" s="81"/>
      <c r="J26" s="84"/>
    </row>
    <row r="27" spans="1:13" ht="17.25" thickBot="1" x14ac:dyDescent="0.35">
      <c r="B27" s="55" t="s">
        <v>36</v>
      </c>
      <c r="C27" s="56">
        <f>+GETPIVOTDATA("Suma de APR. INICIAL",#REF!,"TIPO","C")</f>
        <v>161536218750</v>
      </c>
      <c r="D27" s="56">
        <f>+GETPIVOTDATA("Suma de APR. VIGENTE",#REF!,"TIPO","C")</f>
        <v>128314021151</v>
      </c>
      <c r="E27" s="56">
        <f>+GETPIVOTDATA("Suma de OBLIGACION",#REF!,"TIPO","C")</f>
        <v>124202291642.22</v>
      </c>
      <c r="F27" s="57">
        <f t="shared" si="1"/>
        <v>0.96795572711464395</v>
      </c>
      <c r="G27" s="56">
        <f t="shared" ref="G27" si="2">+H27*D27</f>
        <v>128314021151</v>
      </c>
      <c r="H27" s="57">
        <f>+#REF!</f>
        <v>1</v>
      </c>
      <c r="I27" s="58">
        <f>+IF(OR(F27/H27&gt;100%,F27/H27=100%),"CUMPLIDO",F27/H27)</f>
        <v>0.96795572711464395</v>
      </c>
      <c r="J27" s="59">
        <f>IF(+G27-E27&gt;0,G27-E27,"CUMPLIDO")</f>
        <v>4111729508.7799988</v>
      </c>
      <c r="K27" s="71"/>
    </row>
    <row r="28" spans="1:13" ht="17.25" thickBot="1" x14ac:dyDescent="0.35">
      <c r="B28" s="60" t="s">
        <v>0</v>
      </c>
      <c r="C28" s="61">
        <f>C23+C27</f>
        <v>240291898618</v>
      </c>
      <c r="D28" s="61">
        <f>D23+D27</f>
        <v>207069701019</v>
      </c>
      <c r="E28" s="62">
        <f>E23+E27</f>
        <v>196800500616.54999</v>
      </c>
      <c r="F28" s="63">
        <f t="shared" si="1"/>
        <v>0.95040703515813862</v>
      </c>
      <c r="G28" s="64">
        <f>+G23+G27</f>
        <v>204106978783.52563</v>
      </c>
      <c r="H28" s="65">
        <f>+#REF!</f>
        <v>0.98569214993359888</v>
      </c>
      <c r="I28" s="66">
        <f>+IF(OR(F28/H28&gt;100%,F28/H28=100%),"CUMPLIDO",F28/H28)</f>
        <v>0.96420270286434029</v>
      </c>
      <c r="J28" s="67">
        <f>IF(+G28-E28&gt;0,G28-E28,"CUMPLIDO")</f>
        <v>7306478166.975647</v>
      </c>
      <c r="K28" s="71"/>
    </row>
    <row r="29" spans="1:13" s="36" customFormat="1" x14ac:dyDescent="0.25">
      <c r="I29" s="72"/>
    </row>
    <row r="30" spans="1:13" s="36" customFormat="1" x14ac:dyDescent="0.25">
      <c r="I30" s="69"/>
    </row>
    <row r="31" spans="1:13" s="36" customFormat="1" x14ac:dyDescent="0.25"/>
    <row r="32" spans="1:13" s="36" customForma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row r="47" s="36" customFormat="1" x14ac:dyDescent="0.25"/>
    <row r="48" s="36" customFormat="1" x14ac:dyDescent="0.25"/>
    <row r="49" s="36" customFormat="1" x14ac:dyDescent="0.25"/>
    <row r="50" s="36" customFormat="1" x14ac:dyDescent="0.25"/>
    <row r="51" s="36" customFormat="1" x14ac:dyDescent="0.25"/>
    <row r="52" s="36" customFormat="1" x14ac:dyDescent="0.25"/>
    <row r="53" s="36" customFormat="1" x14ac:dyDescent="0.25"/>
    <row r="54" s="36" customFormat="1" x14ac:dyDescent="0.25"/>
    <row r="55" s="36" customFormat="1" x14ac:dyDescent="0.25"/>
    <row r="56" s="36" customFormat="1" x14ac:dyDescent="0.25"/>
    <row r="57" s="36" customFormat="1" x14ac:dyDescent="0.25"/>
    <row r="58" s="36" customFormat="1" x14ac:dyDescent="0.25"/>
    <row r="59" s="36" customFormat="1" x14ac:dyDescent="0.25"/>
    <row r="60" s="36" customFormat="1" x14ac:dyDescent="0.25"/>
    <row r="61" s="36" customFormat="1" x14ac:dyDescent="0.25"/>
    <row r="62" s="36" customFormat="1" x14ac:dyDescent="0.25"/>
    <row r="63" s="36" customFormat="1" x14ac:dyDescent="0.25"/>
    <row r="64" s="36" customFormat="1" x14ac:dyDescent="0.25"/>
    <row r="65" s="36" customForma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sheetData>
  <sheetProtection password="910A" sheet="1" objects="1" scenarios="1"/>
  <mergeCells count="16">
    <mergeCell ref="G23:G26"/>
    <mergeCell ref="H23:H26"/>
    <mergeCell ref="I23:I26"/>
    <mergeCell ref="J23:J26"/>
    <mergeCell ref="B8:I9"/>
    <mergeCell ref="E10:F10"/>
    <mergeCell ref="G10:H10"/>
    <mergeCell ref="I10:I11"/>
    <mergeCell ref="G12:G15"/>
    <mergeCell ref="H12:H15"/>
    <mergeCell ref="I12:I15"/>
    <mergeCell ref="J12:J15"/>
    <mergeCell ref="B19:I20"/>
    <mergeCell ref="E21:F21"/>
    <mergeCell ref="G21:H21"/>
    <mergeCell ref="I21:I22"/>
  </mergeCells>
  <conditionalFormatting sqref="I12:J17 I23:I2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7:J28">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3:J26">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paperSize="5" scale="8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EJECUCIÓN WEB</vt:lpstr>
      <vt:lpstr>METAS</vt:lpstr>
      <vt:lpstr>METAS!Área_de_impresión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2020-02-03T16:42:35Z</dcterms:created>
  <dcterms:modified xsi:type="dcterms:W3CDTF">2020-06-11T17:42:00Z</dcterms:modified>
</cp:coreProperties>
</file>