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lbarrero\Documents\2019\WEB SIC\PUBLICACION\"/>
    </mc:Choice>
  </mc:AlternateContent>
  <workbookProtection workbookAlgorithmName="SHA-512" workbookHashValue="CZ1xKbZwOxf91v7WB+HYpr/qaBhHwM/kdvbHUz9x8M5J4fuimWMsXlJt0gBFQf9j+lhO+8+/M1Zu6SuAQ6vNsw==" workbookSaltValue="5RlAcYbhQNZSPoqYYYfC4g==" workbookSpinCount="100000" lockStructure="1"/>
  <bookViews>
    <workbookView xWindow="0" yWindow="0" windowWidth="28800" windowHeight="11835"/>
  </bookViews>
  <sheets>
    <sheet name="EJECUCIÓN WEB" sheetId="5" r:id="rId1"/>
    <sheet name="METAS" sheetId="7" state="hidden" r:id="rId2"/>
    <sheet name="EJECUCIÓN" sheetId="3" state="hidden" r:id="rId3"/>
    <sheet name="TD-EPA RECURSO" sheetId="4" state="hidden" r:id="rId4"/>
    <sheet name="TD-EPA" sheetId="2" state="hidden" r:id="rId5"/>
    <sheet name="EPA - SIIF" sheetId="1" state="hidden" r:id="rId6"/>
    <sheet name="METAS EJEC. SIC - MINCIT" sheetId="6" state="hidden" r:id="rId7"/>
  </sheets>
  <externalReferences>
    <externalReference r:id="rId8"/>
    <externalReference r:id="rId9"/>
  </externalReferences>
  <calcPr calcId="152511"/>
  <pivotCaches>
    <pivotCache cacheId="6" r:id="rId10"/>
  </pivotCaches>
</workbook>
</file>

<file path=xl/calcChain.xml><?xml version="1.0" encoding="utf-8"?>
<calcChain xmlns="http://schemas.openxmlformats.org/spreadsheetml/2006/main">
  <c r="E22" i="5" l="1"/>
  <c r="E25" i="5"/>
  <c r="E17" i="7" l="1"/>
  <c r="Q8" i="6"/>
  <c r="E8" i="6"/>
  <c r="H16" i="7" s="1"/>
  <c r="I16" i="7" s="1"/>
  <c r="F16" i="7"/>
  <c r="G16" i="7" l="1"/>
  <c r="J16" i="7" s="1"/>
  <c r="H27" i="7" l="1"/>
  <c r="Q5" i="6"/>
  <c r="H23" i="7" s="1"/>
  <c r="E5" i="6"/>
  <c r="H12" i="7" s="1"/>
  <c r="E26" i="7"/>
  <c r="E15" i="7"/>
  <c r="E14" i="7"/>
  <c r="E13" i="7"/>
  <c r="A41" i="5" l="1"/>
  <c r="A40" i="5"/>
  <c r="D40" i="5" s="1"/>
  <c r="A39" i="5"/>
  <c r="A38" i="5"/>
  <c r="I38" i="5" s="1"/>
  <c r="A37" i="5"/>
  <c r="A36" i="5"/>
  <c r="A35" i="5"/>
  <c r="A34" i="5"/>
  <c r="A33" i="5"/>
  <c r="A32" i="5"/>
  <c r="A31" i="5"/>
  <c r="A30" i="5"/>
  <c r="A29" i="5"/>
  <c r="A27" i="5"/>
  <c r="H27" i="5" s="1"/>
  <c r="A26" i="5"/>
  <c r="D26" i="5" s="1"/>
  <c r="A25" i="5"/>
  <c r="I25" i="5" s="1"/>
  <c r="A24" i="5"/>
  <c r="A23" i="5"/>
  <c r="A22" i="5"/>
  <c r="A21" i="5"/>
  <c r="A20" i="5"/>
  <c r="A19" i="5"/>
  <c r="A18" i="5"/>
  <c r="A16" i="5"/>
  <c r="A15" i="5"/>
  <c r="A13" i="5"/>
  <c r="A12" i="5"/>
  <c r="A11" i="5"/>
  <c r="A10" i="5"/>
  <c r="C40" i="5" l="1"/>
  <c r="F40" i="5"/>
  <c r="I40" i="5"/>
  <c r="H26" i="5"/>
  <c r="B40" i="5"/>
  <c r="H40" i="5"/>
  <c r="F26" i="5"/>
  <c r="B26" i="5"/>
  <c r="I26" i="5"/>
  <c r="C26" i="5"/>
  <c r="D27" i="5"/>
  <c r="C27" i="5"/>
  <c r="I27" i="5"/>
  <c r="F27" i="5"/>
  <c r="B27" i="5"/>
  <c r="D25" i="5"/>
  <c r="F25" i="5"/>
  <c r="B25" i="5"/>
  <c r="H25" i="5"/>
  <c r="C25" i="5"/>
  <c r="L25" i="5" s="1"/>
  <c r="M25" i="5" s="1"/>
  <c r="J8" i="3"/>
  <c r="D36" i="3"/>
  <c r="L8" i="3"/>
  <c r="C25" i="7"/>
  <c r="C9" i="3"/>
  <c r="B8" i="3"/>
  <c r="B18" i="3"/>
  <c r="C37" i="3"/>
  <c r="D26" i="7"/>
  <c r="D9" i="3"/>
  <c r="B11" i="3"/>
  <c r="C16" i="3"/>
  <c r="H8" i="3"/>
  <c r="D33" i="3"/>
  <c r="C24" i="7"/>
  <c r="D37" i="3"/>
  <c r="E38" i="3"/>
  <c r="C27" i="7"/>
  <c r="C38" i="3"/>
  <c r="C18" i="3"/>
  <c r="C36" i="3"/>
  <c r="B16" i="3"/>
  <c r="E33" i="3"/>
  <c r="L10" i="3"/>
  <c r="C19" i="3"/>
  <c r="D11" i="3"/>
  <c r="B19" i="3"/>
  <c r="C17" i="3"/>
  <c r="E36" i="3"/>
  <c r="F11" i="3"/>
  <c r="C27" i="3"/>
  <c r="H10" i="3"/>
  <c r="D38" i="3"/>
  <c r="D25" i="7"/>
  <c r="D17" i="3"/>
  <c r="D24" i="7"/>
  <c r="E27" i="7"/>
  <c r="C26" i="7"/>
  <c r="C30" i="3"/>
  <c r="E37" i="3"/>
  <c r="D27" i="3"/>
  <c r="D16" i="3"/>
  <c r="D8" i="3"/>
  <c r="C33" i="3"/>
  <c r="H9" i="3"/>
  <c r="D27" i="7"/>
  <c r="F8" i="3"/>
  <c r="J10" i="3"/>
  <c r="D19" i="3"/>
  <c r="F9" i="3"/>
  <c r="E25" i="7"/>
  <c r="C11" i="3"/>
  <c r="C8" i="3"/>
  <c r="B9" i="3"/>
  <c r="J9" i="3"/>
  <c r="F10" i="3"/>
  <c r="B17" i="3"/>
  <c r="L9" i="3"/>
  <c r="D10" i="3"/>
  <c r="B10" i="3"/>
  <c r="D18" i="3"/>
  <c r="D30" i="3"/>
  <c r="E27" i="3"/>
  <c r="E24" i="7"/>
  <c r="E16" i="7"/>
  <c r="C10" i="3"/>
  <c r="E30" i="3"/>
  <c r="F26" i="7" l="1"/>
  <c r="N26" i="5"/>
  <c r="O26" i="5" s="1"/>
  <c r="L26" i="5"/>
  <c r="M26" i="5" s="1"/>
  <c r="G26" i="5"/>
  <c r="J26" i="5"/>
  <c r="K26" i="5" s="1"/>
  <c r="E26" i="5"/>
  <c r="L27" i="5"/>
  <c r="M27" i="5" s="1"/>
  <c r="J27" i="5"/>
  <c r="K27" i="5" s="1"/>
  <c r="E27" i="5"/>
  <c r="N27" i="5"/>
  <c r="O27" i="5" s="1"/>
  <c r="G27" i="5"/>
  <c r="J25" i="5"/>
  <c r="K25" i="5" s="1"/>
  <c r="G25" i="5"/>
  <c r="N25" i="5"/>
  <c r="O25" i="5" s="1"/>
  <c r="B7" i="3"/>
  <c r="E12" i="7"/>
  <c r="I10" i="5"/>
  <c r="I11" i="5"/>
  <c r="I12" i="5"/>
  <c r="I13" i="5"/>
  <c r="I15" i="5"/>
  <c r="I16" i="5"/>
  <c r="I18" i="5"/>
  <c r="I19" i="5"/>
  <c r="I20" i="5"/>
  <c r="I21" i="5"/>
  <c r="I22" i="5"/>
  <c r="I23" i="5"/>
  <c r="I24" i="5"/>
  <c r="I29" i="5"/>
  <c r="I30" i="5"/>
  <c r="I31" i="5"/>
  <c r="I32" i="5"/>
  <c r="I33" i="5"/>
  <c r="I34" i="5"/>
  <c r="I35" i="5"/>
  <c r="I36" i="5"/>
  <c r="I37" i="5"/>
  <c r="I39" i="5"/>
  <c r="I41" i="5"/>
  <c r="H29" i="5"/>
  <c r="H30" i="5"/>
  <c r="H31" i="5"/>
  <c r="H32" i="5"/>
  <c r="H33" i="5"/>
  <c r="H34" i="5"/>
  <c r="H35" i="5"/>
  <c r="H36" i="5"/>
  <c r="H37" i="5"/>
  <c r="H38" i="5"/>
  <c r="H39" i="5"/>
  <c r="H41" i="5"/>
  <c r="B24" i="5"/>
  <c r="C24" i="5"/>
  <c r="D24" i="5"/>
  <c r="F24" i="5"/>
  <c r="H24" i="5"/>
  <c r="F41" i="5"/>
  <c r="D41" i="5"/>
  <c r="C41" i="5"/>
  <c r="B41" i="5"/>
  <c r="F30" i="5"/>
  <c r="F31" i="5"/>
  <c r="F32" i="5"/>
  <c r="F33" i="5"/>
  <c r="F34" i="5"/>
  <c r="F35" i="5"/>
  <c r="F36" i="5"/>
  <c r="F37" i="5"/>
  <c r="F38" i="5"/>
  <c r="F39" i="5"/>
  <c r="F29" i="5"/>
  <c r="C30" i="5"/>
  <c r="D30" i="5"/>
  <c r="C31" i="5"/>
  <c r="D31" i="5"/>
  <c r="C32" i="5"/>
  <c r="D32" i="5"/>
  <c r="C33" i="5"/>
  <c r="D33" i="5"/>
  <c r="C34" i="5"/>
  <c r="D34" i="5"/>
  <c r="C35" i="5"/>
  <c r="N35" i="5" s="1"/>
  <c r="O35" i="5" s="1"/>
  <c r="D35" i="5"/>
  <c r="C36" i="5"/>
  <c r="D36" i="5"/>
  <c r="C37" i="5"/>
  <c r="D37" i="5"/>
  <c r="C38" i="5"/>
  <c r="D38" i="5"/>
  <c r="C39" i="5"/>
  <c r="D39" i="5"/>
  <c r="D29" i="5"/>
  <c r="C29" i="5"/>
  <c r="B30" i="5"/>
  <c r="B31" i="5"/>
  <c r="B32" i="5"/>
  <c r="B33" i="5"/>
  <c r="B34" i="5"/>
  <c r="B35" i="5"/>
  <c r="B36" i="5"/>
  <c r="B37" i="5"/>
  <c r="B38" i="5"/>
  <c r="B39" i="5"/>
  <c r="B29" i="5"/>
  <c r="B4" i="5"/>
  <c r="H23" i="5"/>
  <c r="H22" i="5"/>
  <c r="H21" i="5"/>
  <c r="H20" i="5"/>
  <c r="H19" i="5"/>
  <c r="H18" i="5"/>
  <c r="F23" i="5"/>
  <c r="F22" i="5"/>
  <c r="F21" i="5"/>
  <c r="F20" i="5"/>
  <c r="F19" i="5"/>
  <c r="F18" i="5"/>
  <c r="D23" i="5"/>
  <c r="C23" i="5"/>
  <c r="B23" i="5"/>
  <c r="D22" i="5"/>
  <c r="C22" i="5"/>
  <c r="B22" i="5"/>
  <c r="D21" i="5"/>
  <c r="C21" i="5"/>
  <c r="B21" i="5"/>
  <c r="D20" i="5"/>
  <c r="C20" i="5"/>
  <c r="B20" i="5"/>
  <c r="D19" i="5"/>
  <c r="C19" i="5"/>
  <c r="B19" i="5"/>
  <c r="D18" i="5"/>
  <c r="C18" i="5"/>
  <c r="B18" i="5"/>
  <c r="H16" i="5"/>
  <c r="H15" i="5"/>
  <c r="F16" i="5"/>
  <c r="F15" i="5"/>
  <c r="D16" i="5"/>
  <c r="C16" i="5"/>
  <c r="D15" i="5"/>
  <c r="C15" i="5"/>
  <c r="B16" i="5"/>
  <c r="B15" i="5"/>
  <c r="H11" i="5"/>
  <c r="H12" i="5"/>
  <c r="H13" i="5"/>
  <c r="F11" i="5"/>
  <c r="F12" i="5"/>
  <c r="F13" i="5"/>
  <c r="B11" i="5"/>
  <c r="C11" i="5"/>
  <c r="D11" i="5"/>
  <c r="B12" i="5"/>
  <c r="C12" i="5"/>
  <c r="D12" i="5"/>
  <c r="B13" i="5"/>
  <c r="C13" i="5"/>
  <c r="D13" i="5"/>
  <c r="H10" i="5"/>
  <c r="F10" i="5"/>
  <c r="D10" i="5"/>
  <c r="C10" i="5"/>
  <c r="B10" i="5"/>
  <c r="F26" i="3"/>
  <c r="G26" i="3"/>
  <c r="F28" i="3"/>
  <c r="G28" i="3"/>
  <c r="F29" i="3"/>
  <c r="G29" i="3"/>
  <c r="F31" i="3"/>
  <c r="G31" i="3"/>
  <c r="F32" i="3"/>
  <c r="G32" i="3"/>
  <c r="F34" i="3"/>
  <c r="G34" i="3"/>
  <c r="F35" i="3"/>
  <c r="G35" i="3"/>
  <c r="E26" i="3"/>
  <c r="E25" i="3"/>
  <c r="D26" i="3"/>
  <c r="D25" i="3"/>
  <c r="C26" i="3"/>
  <c r="C14" i="7"/>
  <c r="C13" i="7"/>
  <c r="C15" i="7"/>
  <c r="J11" i="3"/>
  <c r="D16" i="7"/>
  <c r="H11" i="3"/>
  <c r="L11" i="3"/>
  <c r="C16" i="7"/>
  <c r="D15" i="7"/>
  <c r="D14" i="7"/>
  <c r="D13" i="7"/>
  <c r="G16" i="5" l="1"/>
  <c r="C17" i="5"/>
  <c r="F17" i="5"/>
  <c r="I17" i="5"/>
  <c r="B17" i="5"/>
  <c r="H17" i="5"/>
  <c r="D17" i="5"/>
  <c r="G21" i="5"/>
  <c r="E20" i="5"/>
  <c r="J38" i="5"/>
  <c r="K38" i="5" s="1"/>
  <c r="J34" i="5"/>
  <c r="K34" i="5" s="1"/>
  <c r="J30" i="5"/>
  <c r="K30" i="5" s="1"/>
  <c r="G40" i="5"/>
  <c r="N19" i="5"/>
  <c r="O19" i="5" s="1"/>
  <c r="J21" i="5"/>
  <c r="K21" i="5" s="1"/>
  <c r="E29" i="5"/>
  <c r="J41" i="5"/>
  <c r="K41" i="5" s="1"/>
  <c r="N21" i="5"/>
  <c r="O21" i="5" s="1"/>
  <c r="J37" i="5"/>
  <c r="K37" i="5" s="1"/>
  <c r="J33" i="5"/>
  <c r="K33" i="5" s="1"/>
  <c r="G18" i="5"/>
  <c r="E16" i="5"/>
  <c r="J16" i="5"/>
  <c r="K16" i="5" s="1"/>
  <c r="C14" i="5"/>
  <c r="N15" i="5"/>
  <c r="O15" i="5" s="1"/>
  <c r="L40" i="5"/>
  <c r="M40" i="5" s="1"/>
  <c r="J20" i="5"/>
  <c r="K20" i="5" s="1"/>
  <c r="G11" i="5"/>
  <c r="L13" i="5"/>
  <c r="M13" i="5" s="1"/>
  <c r="G13" i="5"/>
  <c r="G25" i="3"/>
  <c r="F25" i="3"/>
  <c r="B9" i="5"/>
  <c r="L15" i="5"/>
  <c r="L19" i="5"/>
  <c r="M19" i="5" s="1"/>
  <c r="J19" i="5"/>
  <c r="K19" i="5" s="1"/>
  <c r="L31" i="5"/>
  <c r="M31" i="5" s="1"/>
  <c r="N18" i="5"/>
  <c r="J40" i="5"/>
  <c r="K40" i="5" s="1"/>
  <c r="E13" i="5"/>
  <c r="N13" i="5"/>
  <c r="O13" i="5" s="1"/>
  <c r="N10" i="5"/>
  <c r="O10" i="5" s="1"/>
  <c r="J15" i="5"/>
  <c r="K15" i="5" s="1"/>
  <c r="I14" i="5"/>
  <c r="N40" i="5"/>
  <c r="O40" i="5" s="1"/>
  <c r="F14" i="5"/>
  <c r="G22" i="5"/>
  <c r="N24" i="5"/>
  <c r="O24" i="5" s="1"/>
  <c r="I28" i="5"/>
  <c r="I9" i="5"/>
  <c r="N36" i="5"/>
  <c r="O36" i="5" s="1"/>
  <c r="G36" i="5"/>
  <c r="G37" i="5"/>
  <c r="N37" i="5"/>
  <c r="O37" i="5" s="1"/>
  <c r="E19" i="5"/>
  <c r="L30" i="5"/>
  <c r="M30" i="5" s="1"/>
  <c r="G19" i="5"/>
  <c r="G12" i="5"/>
  <c r="N16" i="5"/>
  <c r="O16" i="5" s="1"/>
  <c r="E18" i="5"/>
  <c r="E32" i="5"/>
  <c r="N32" i="5"/>
  <c r="O32" i="5" s="1"/>
  <c r="H28" i="5"/>
  <c r="L21" i="5"/>
  <c r="M21" i="5" s="1"/>
  <c r="E21" i="5"/>
  <c r="G32" i="5"/>
  <c r="J12" i="5"/>
  <c r="K12" i="5" s="1"/>
  <c r="N12" i="5"/>
  <c r="O12" i="5" s="1"/>
  <c r="L12" i="5"/>
  <c r="M12" i="5" s="1"/>
  <c r="M15" i="5"/>
  <c r="J18" i="5"/>
  <c r="G10" i="5"/>
  <c r="L16" i="5"/>
  <c r="M16" i="5" s="1"/>
  <c r="J13" i="5"/>
  <c r="K13" i="5" s="1"/>
  <c r="B14" i="5"/>
  <c r="D14" i="5"/>
  <c r="H14" i="5"/>
  <c r="J36" i="5"/>
  <c r="K36" i="5" s="1"/>
  <c r="J32" i="5"/>
  <c r="K32" i="5" s="1"/>
  <c r="E12" i="5"/>
  <c r="E11" i="5"/>
  <c r="E15" i="5"/>
  <c r="L38" i="5"/>
  <c r="M38" i="5" s="1"/>
  <c r="L36" i="5"/>
  <c r="M36" i="5" s="1"/>
  <c r="L32" i="5"/>
  <c r="M32" i="5" s="1"/>
  <c r="E30" i="5"/>
  <c r="G38" i="5"/>
  <c r="G34" i="5"/>
  <c r="E24" i="5"/>
  <c r="N41" i="5"/>
  <c r="O41" i="5" s="1"/>
  <c r="G37" i="3"/>
  <c r="E40" i="3"/>
  <c r="E41" i="3"/>
  <c r="G38" i="3"/>
  <c r="F33" i="3"/>
  <c r="C41" i="3"/>
  <c r="C24" i="3"/>
  <c r="C39" i="3" s="1"/>
  <c r="G30" i="3"/>
  <c r="F37" i="3"/>
  <c r="D40" i="3"/>
  <c r="G33" i="3"/>
  <c r="G36" i="3"/>
  <c r="F30" i="3"/>
  <c r="E24" i="3"/>
  <c r="G27" i="3"/>
  <c r="F36" i="3"/>
  <c r="D24" i="3"/>
  <c r="F27" i="3"/>
  <c r="F38" i="3"/>
  <c r="D41" i="3"/>
  <c r="C40" i="3"/>
  <c r="C15" i="3"/>
  <c r="C20" i="3" s="1"/>
  <c r="B15" i="3"/>
  <c r="B20" i="3" s="1"/>
  <c r="C12" i="7"/>
  <c r="C17" i="7" s="1"/>
  <c r="G10" i="3"/>
  <c r="E9" i="3"/>
  <c r="E17" i="3"/>
  <c r="K9" i="3"/>
  <c r="D12" i="7"/>
  <c r="G12" i="7" s="1"/>
  <c r="G17" i="7" s="1"/>
  <c r="E11" i="6" s="1"/>
  <c r="H17" i="7" s="1"/>
  <c r="I11" i="3"/>
  <c r="J18" i="3"/>
  <c r="K18" i="3" s="1"/>
  <c r="F18" i="3"/>
  <c r="G18" i="3" s="1"/>
  <c r="H18" i="3"/>
  <c r="I18" i="3" s="1"/>
  <c r="G27" i="7"/>
  <c r="J27" i="7" s="1"/>
  <c r="M10" i="3"/>
  <c r="J17" i="3"/>
  <c r="K17" i="3" s="1"/>
  <c r="F17" i="3"/>
  <c r="G17" i="3" s="1"/>
  <c r="H17" i="3"/>
  <c r="I17" i="3" s="1"/>
  <c r="E11" i="3"/>
  <c r="E18" i="3"/>
  <c r="M11" i="3"/>
  <c r="G11" i="3"/>
  <c r="F24" i="7"/>
  <c r="E23" i="7"/>
  <c r="F13" i="7"/>
  <c r="M9" i="3"/>
  <c r="E16" i="3"/>
  <c r="D15" i="3"/>
  <c r="J16" i="3"/>
  <c r="C7" i="3"/>
  <c r="C12" i="3" s="1"/>
  <c r="H16" i="3"/>
  <c r="F16" i="3"/>
  <c r="K11" i="3"/>
  <c r="E19" i="3"/>
  <c r="I9" i="3"/>
  <c r="E10" i="3"/>
  <c r="I8" i="3"/>
  <c r="H7" i="3"/>
  <c r="F25" i="7"/>
  <c r="F15" i="7"/>
  <c r="L7" i="3"/>
  <c r="M8" i="3"/>
  <c r="E8" i="3"/>
  <c r="D7" i="3"/>
  <c r="G9" i="3"/>
  <c r="I10" i="3"/>
  <c r="B12" i="3"/>
  <c r="K10" i="3"/>
  <c r="G8" i="3"/>
  <c r="F7" i="3"/>
  <c r="H19" i="3"/>
  <c r="I19" i="3" s="1"/>
  <c r="J19" i="3"/>
  <c r="K19" i="3" s="1"/>
  <c r="F19" i="3"/>
  <c r="G19" i="3" s="1"/>
  <c r="J7" i="3"/>
  <c r="K8" i="3"/>
  <c r="D23" i="7"/>
  <c r="C23" i="7"/>
  <c r="C28" i="7" s="1"/>
  <c r="F27" i="7"/>
  <c r="I27" i="7" s="1"/>
  <c r="F14" i="7"/>
  <c r="B28" i="5"/>
  <c r="L39" i="5"/>
  <c r="M39" i="5" s="1"/>
  <c r="E39" i="5"/>
  <c r="N39" i="5"/>
  <c r="O39" i="5" s="1"/>
  <c r="J39" i="5"/>
  <c r="K39" i="5" s="1"/>
  <c r="L37" i="5"/>
  <c r="M37" i="5" s="1"/>
  <c r="E37" i="5"/>
  <c r="J35" i="5"/>
  <c r="K35" i="5" s="1"/>
  <c r="L35" i="5"/>
  <c r="M35" i="5" s="1"/>
  <c r="E35" i="5"/>
  <c r="E33" i="5"/>
  <c r="L33" i="5"/>
  <c r="M33" i="5" s="1"/>
  <c r="N33" i="5"/>
  <c r="O33" i="5" s="1"/>
  <c r="G33" i="5"/>
  <c r="N31" i="5"/>
  <c r="O31" i="5" s="1"/>
  <c r="E31" i="5"/>
  <c r="J31" i="5"/>
  <c r="K31" i="5" s="1"/>
  <c r="G39" i="5"/>
  <c r="G35" i="5"/>
  <c r="G31" i="5"/>
  <c r="D9" i="5"/>
  <c r="E10" i="5"/>
  <c r="D28" i="5"/>
  <c r="L18" i="5"/>
  <c r="J23" i="5"/>
  <c r="K23" i="5" s="1"/>
  <c r="G23" i="5"/>
  <c r="L23" i="5"/>
  <c r="M23" i="5" s="1"/>
  <c r="E23" i="5"/>
  <c r="N23" i="5"/>
  <c r="O23" i="5" s="1"/>
  <c r="G20" i="5"/>
  <c r="N29" i="5"/>
  <c r="L29" i="5"/>
  <c r="C28" i="5"/>
  <c r="G29" i="5"/>
  <c r="F28" i="5"/>
  <c r="G30" i="5"/>
  <c r="L24" i="5"/>
  <c r="M24" i="5" s="1"/>
  <c r="E36" i="5"/>
  <c r="E38" i="5"/>
  <c r="N34" i="5"/>
  <c r="O34" i="5" s="1"/>
  <c r="N30" i="5"/>
  <c r="O30" i="5" s="1"/>
  <c r="J29" i="5"/>
  <c r="F9" i="5"/>
  <c r="L20" i="5"/>
  <c r="M20" i="5" s="1"/>
  <c r="N20" i="5"/>
  <c r="O20" i="5" s="1"/>
  <c r="N22" i="5"/>
  <c r="O22" i="5" s="1"/>
  <c r="J22" i="5"/>
  <c r="L22" i="5"/>
  <c r="M22" i="5" s="1"/>
  <c r="J24" i="5"/>
  <c r="K24" i="5" s="1"/>
  <c r="E40" i="5"/>
  <c r="L34" i="5"/>
  <c r="M34" i="5" s="1"/>
  <c r="E34" i="5"/>
  <c r="N38" i="5"/>
  <c r="O38" i="5" s="1"/>
  <c r="L10" i="5"/>
  <c r="C9" i="5"/>
  <c r="J10" i="5"/>
  <c r="J11" i="5"/>
  <c r="K11" i="5" s="1"/>
  <c r="L11" i="5"/>
  <c r="M11" i="5" s="1"/>
  <c r="N11" i="5"/>
  <c r="O11" i="5" s="1"/>
  <c r="H9" i="5"/>
  <c r="G15" i="5"/>
  <c r="L41" i="5"/>
  <c r="M41" i="5" s="1"/>
  <c r="G41" i="5"/>
  <c r="E41" i="5"/>
  <c r="G24" i="5"/>
  <c r="C42" i="3" l="1"/>
  <c r="F41" i="3"/>
  <c r="L17" i="5"/>
  <c r="K18" i="5"/>
  <c r="J17" i="5"/>
  <c r="K17" i="5" s="1"/>
  <c r="N17" i="5"/>
  <c r="O18" i="5"/>
  <c r="J14" i="5"/>
  <c r="K14" i="5" s="1"/>
  <c r="C8" i="5"/>
  <c r="C42" i="5" s="1"/>
  <c r="C43" i="5" s="1"/>
  <c r="E14" i="5"/>
  <c r="H8" i="5"/>
  <c r="H42" i="5" s="1"/>
  <c r="H43" i="5" s="1"/>
  <c r="G14" i="5"/>
  <c r="N14" i="5"/>
  <c r="O14" i="5" s="1"/>
  <c r="G28" i="5"/>
  <c r="B8" i="5"/>
  <c r="B42" i="5" s="1"/>
  <c r="B43" i="5" s="1"/>
  <c r="I8" i="5"/>
  <c r="I42" i="5" s="1"/>
  <c r="I43" i="5" s="1"/>
  <c r="G41" i="3"/>
  <c r="G17" i="5"/>
  <c r="E28" i="5"/>
  <c r="L14" i="5"/>
  <c r="M14" i="5" s="1"/>
  <c r="E17" i="5"/>
  <c r="E39" i="3"/>
  <c r="G24" i="3"/>
  <c r="F40" i="3"/>
  <c r="G40" i="3"/>
  <c r="F24" i="3"/>
  <c r="D39" i="3"/>
  <c r="L9" i="5"/>
  <c r="M10" i="5"/>
  <c r="N28" i="5"/>
  <c r="O28" i="5" s="1"/>
  <c r="O29" i="5"/>
  <c r="M17" i="5"/>
  <c r="M18" i="5"/>
  <c r="M7" i="3"/>
  <c r="L12" i="3"/>
  <c r="M12" i="3" s="1"/>
  <c r="I7" i="3"/>
  <c r="H12" i="3"/>
  <c r="I12" i="3" s="1"/>
  <c r="J28" i="5"/>
  <c r="K28" i="5" s="1"/>
  <c r="K29" i="5"/>
  <c r="G23" i="7"/>
  <c r="D28" i="7"/>
  <c r="E7" i="3"/>
  <c r="D12" i="3"/>
  <c r="E12" i="3" s="1"/>
  <c r="K16" i="3"/>
  <c r="J15" i="3"/>
  <c r="K10" i="5"/>
  <c r="J9" i="5"/>
  <c r="N9" i="5"/>
  <c r="G16" i="3"/>
  <c r="F15" i="3"/>
  <c r="E15" i="3"/>
  <c r="D20" i="3"/>
  <c r="E20" i="3" s="1"/>
  <c r="F12" i="7"/>
  <c r="I12" i="7" s="1"/>
  <c r="K22" i="5"/>
  <c r="F8" i="5"/>
  <c r="G9" i="5"/>
  <c r="L28" i="5"/>
  <c r="M28" i="5" s="1"/>
  <c r="M29" i="5"/>
  <c r="O17" i="5"/>
  <c r="E9" i="5"/>
  <c r="D8" i="5"/>
  <c r="J12" i="3"/>
  <c r="K12" i="3" s="1"/>
  <c r="K7" i="3"/>
  <c r="G7" i="3"/>
  <c r="F12" i="3"/>
  <c r="G12" i="3" s="1"/>
  <c r="H15" i="3"/>
  <c r="I16" i="3"/>
  <c r="E28" i="7"/>
  <c r="F28" i="7" s="1"/>
  <c r="F23" i="7"/>
  <c r="I23" i="7" s="1"/>
  <c r="D17" i="7"/>
  <c r="J12" i="7"/>
  <c r="J23" i="7" l="1"/>
  <c r="G28" i="7"/>
  <c r="Q11" i="6" s="1"/>
  <c r="H28" i="7" s="1"/>
  <c r="I28" i="7" s="1"/>
  <c r="J17" i="7"/>
  <c r="F39" i="3"/>
  <c r="D42" i="3"/>
  <c r="F42" i="3" s="1"/>
  <c r="G39" i="3"/>
  <c r="E42" i="3"/>
  <c r="G42" i="3" s="1"/>
  <c r="D42" i="5"/>
  <c r="E8" i="5"/>
  <c r="J8" i="5"/>
  <c r="K9" i="5"/>
  <c r="G15" i="3"/>
  <c r="F20" i="3"/>
  <c r="G20" i="3" s="1"/>
  <c r="G8" i="5"/>
  <c r="F42" i="5"/>
  <c r="F17" i="7"/>
  <c r="I17" i="7" s="1"/>
  <c r="K15" i="3"/>
  <c r="J20" i="3"/>
  <c r="K20" i="3" s="1"/>
  <c r="J28" i="7"/>
  <c r="I15" i="3"/>
  <c r="H20" i="3"/>
  <c r="I20" i="3" s="1"/>
  <c r="N8" i="5"/>
  <c r="O9" i="5"/>
  <c r="M9" i="5"/>
  <c r="L8" i="5"/>
  <c r="G43" i="5" l="1"/>
  <c r="F43" i="5"/>
  <c r="G42" i="5"/>
  <c r="N42" i="5"/>
  <c r="N43" i="5" s="1"/>
  <c r="O8" i="5"/>
  <c r="J42" i="5"/>
  <c r="K8" i="5"/>
  <c r="M8" i="5"/>
  <c r="L42" i="5"/>
  <c r="L43" i="5" s="1"/>
  <c r="E43" i="5"/>
  <c r="E42" i="5"/>
  <c r="D43" i="5"/>
  <c r="K42" i="5" l="1"/>
  <c r="K43" i="5"/>
  <c r="J43" i="5"/>
  <c r="M42" i="5"/>
  <c r="M43" i="5"/>
  <c r="O42" i="5"/>
  <c r="O43" i="5"/>
</calcChain>
</file>

<file path=xl/comments1.xml><?xml version="1.0" encoding="utf-8"?>
<comments xmlns="http://schemas.openxmlformats.org/spreadsheetml/2006/main">
  <authors>
    <author>Cesar Augusto Montaño Patarroyo</author>
  </authors>
  <commentList>
    <comment ref="G10" authorId="0" shapeId="0">
      <text>
        <r>
          <rPr>
            <b/>
            <sz val="9"/>
            <color indexed="81"/>
            <rFont val="Tahoma"/>
            <family val="2"/>
          </rPr>
          <t>Cesar Augusto Montaño Patarroyo:</t>
        </r>
        <r>
          <rPr>
            <sz val="9"/>
            <color indexed="81"/>
            <rFont val="Tahoma"/>
            <family val="2"/>
          </rPr>
          <t xml:space="preserve">
La meta evaluada, de acuerdo al compromiso de desempeño concertado con el MINCIT, se establece en función del valor porcentual de la meta. Para obtener la cifra monetaria será función de la meta porcentual y de la aprop. vigente.</t>
        </r>
      </text>
    </comment>
  </commentList>
</comments>
</file>

<file path=xl/sharedStrings.xml><?xml version="1.0" encoding="utf-8"?>
<sst xmlns="http://schemas.openxmlformats.org/spreadsheetml/2006/main" count="839" uniqueCount="216">
  <si>
    <t>Año Fiscal:</t>
  </si>
  <si>
    <t/>
  </si>
  <si>
    <t>Vigencia:</t>
  </si>
  <si>
    <t>Actual</t>
  </si>
  <si>
    <t>Periodo:</t>
  </si>
  <si>
    <t>Marzo</t>
  </si>
  <si>
    <t>UEJ</t>
  </si>
  <si>
    <t>NOMBRE UEJ</t>
  </si>
  <si>
    <t>RUBRO</t>
  </si>
  <si>
    <t>TIPO</t>
  </si>
  <si>
    <t>CTA</t>
  </si>
  <si>
    <t>SUB
CTA</t>
  </si>
  <si>
    <t>OBJ</t>
  </si>
  <si>
    <t>ORD</t>
  </si>
  <si>
    <t>SOR
ORD</t>
  </si>
  <si>
    <t>ITEM</t>
  </si>
  <si>
    <t>SUB
ITEM</t>
  </si>
  <si>
    <t>FUENTE</t>
  </si>
  <si>
    <t>REC</t>
  </si>
  <si>
    <t>SIT</t>
  </si>
  <si>
    <t>DESCRIPCION</t>
  </si>
  <si>
    <t>APR. INICIAL</t>
  </si>
  <si>
    <t>APR. ADICIONADA</t>
  </si>
  <si>
    <t>APR. REDUCIDA</t>
  </si>
  <si>
    <t>APR. VIGENTE</t>
  </si>
  <si>
    <t>APR BLOQUEADA</t>
  </si>
  <si>
    <t>CDP</t>
  </si>
  <si>
    <t>APR. DISPONIBLE</t>
  </si>
  <si>
    <t>COMPROMISO</t>
  </si>
  <si>
    <t>OBLIGACION</t>
  </si>
  <si>
    <t>ORDEN PAGO</t>
  </si>
  <si>
    <t>PAGOS</t>
  </si>
  <si>
    <t>35-03-00</t>
  </si>
  <si>
    <t>SUPERINTENDENCIA DE INDUSTRIA Y COMERCIO</t>
  </si>
  <si>
    <t>A</t>
  </si>
  <si>
    <t>Propios</t>
  </si>
  <si>
    <t>20</t>
  </si>
  <si>
    <t>CSF</t>
  </si>
  <si>
    <t>4</t>
  </si>
  <si>
    <t>5</t>
  </si>
  <si>
    <t>9</t>
  </si>
  <si>
    <t>10</t>
  </si>
  <si>
    <t>ORGANIZACION PARA LA COOPERACION Y EL DESARROLLO ECONOMICO OCDE-ARTICULO 47 LEY 1450 DE 2011</t>
  </si>
  <si>
    <t>CONVENCION DEL METRO - OFICINA INTERNACIONAL DE PESAS Y MEDIDAS - BIPM. LEY 1512 DE 2012</t>
  </si>
  <si>
    <t>6</t>
  </si>
  <si>
    <t>C</t>
  </si>
  <si>
    <t>3503</t>
  </si>
  <si>
    <t>0200</t>
  </si>
  <si>
    <t>21</t>
  </si>
  <si>
    <t>Nación</t>
  </si>
  <si>
    <t>7</t>
  </si>
  <si>
    <t>8</t>
  </si>
  <si>
    <t>3599</t>
  </si>
  <si>
    <t>Etiquetas de fila</t>
  </si>
  <si>
    <t>Total general</t>
  </si>
  <si>
    <t>Suma de APR. INICIAL</t>
  </si>
  <si>
    <t>Suma de APR. VIGENTE</t>
  </si>
  <si>
    <t>Suma de COMPROMISO</t>
  </si>
  <si>
    <t>Suma de OBLIGACION</t>
  </si>
  <si>
    <t>Suma de PAGOS</t>
  </si>
  <si>
    <t>TOTAL</t>
  </si>
  <si>
    <t>Etiquetas de columna</t>
  </si>
  <si>
    <t>Total Suma de APR. VIGENTE</t>
  </si>
  <si>
    <t>Total Suma de COMPROMISO</t>
  </si>
  <si>
    <t>Total Suma de OBLIGACION</t>
  </si>
  <si>
    <t>COMPROMISOS</t>
  </si>
  <si>
    <t>INFORME DE EJECUCIÓN PRESUPUESTAL</t>
  </si>
  <si>
    <t>DIRECCIÓN FINANCIERA</t>
  </si>
  <si>
    <t>CONCEPTO</t>
  </si>
  <si>
    <t>APROP. INICIAL</t>
  </si>
  <si>
    <t>APROP. VIGENTE</t>
  </si>
  <si>
    <t>APROP. BLOQUEADA</t>
  </si>
  <si>
    <t>% APR. BLOQ.</t>
  </si>
  <si>
    <t>% CDP</t>
  </si>
  <si>
    <t>% COMPROM.</t>
  </si>
  <si>
    <t>% OBLIGAC.</t>
  </si>
  <si>
    <t>% PAGO</t>
  </si>
  <si>
    <t>APROP. SIN CDP</t>
  </si>
  <si>
    <t>% APR. SIN CDP</t>
  </si>
  <si>
    <t>APROP. SIN COMPROM.</t>
  </si>
  <si>
    <t>% APR. SIN COMPR.</t>
  </si>
  <si>
    <t>APROP. SIN OBLIGA.</t>
  </si>
  <si>
    <t>% APR. SIN OBLIG.</t>
  </si>
  <si>
    <t>Gastos de Funcionamiento</t>
  </si>
  <si>
    <t>Gastos de Personal</t>
  </si>
  <si>
    <t>Gastos Generales</t>
  </si>
  <si>
    <t>Transferencias Corrientes</t>
  </si>
  <si>
    <t>Inversión</t>
  </si>
  <si>
    <t>Suma de APR BLOQUEADA</t>
  </si>
  <si>
    <t>Suma de CDP</t>
  </si>
  <si>
    <t>RECURSO</t>
  </si>
  <si>
    <t>PROPIOS - 20</t>
  </si>
  <si>
    <t>PROPIOS - 21</t>
  </si>
  <si>
    <t>NACIÓN - 10</t>
  </si>
  <si>
    <t>% OBLIG.</t>
  </si>
  <si>
    <t>TOTAL RECURSO</t>
  </si>
  <si>
    <t>SISTEMA INTEGRADO DE INFORMACIÓN FINANCIERA - SIIF NACIÓN</t>
  </si>
  <si>
    <t xml:space="preserve"> APR. INICIAL</t>
  </si>
  <si>
    <t xml:space="preserve"> APR. VIGENTE</t>
  </si>
  <si>
    <t xml:space="preserve"> COMPROMISO</t>
  </si>
  <si>
    <t>% 
COMPROMISO</t>
  </si>
  <si>
    <t xml:space="preserve"> OBLIGACION</t>
  </si>
  <si>
    <t>% OBLIGADO</t>
  </si>
  <si>
    <t xml:space="preserve"> PAGOS</t>
  </si>
  <si>
    <t>% APROP. SIN CDP</t>
  </si>
  <si>
    <t>APROP. SIN COMPROMETER</t>
  </si>
  <si>
    <t xml:space="preserve">% APROP. SIN COMPROMETER </t>
  </si>
  <si>
    <t>APROP. SIN OBLIGAR</t>
  </si>
  <si>
    <t>% APROP. SIN OBLIGAR</t>
  </si>
  <si>
    <t>Gastos de Inversión</t>
  </si>
  <si>
    <t>Compromisos</t>
  </si>
  <si>
    <t>Obligaciones</t>
  </si>
  <si>
    <t>Enero</t>
  </si>
  <si>
    <t>Febrero</t>
  </si>
  <si>
    <t>Abril</t>
  </si>
  <si>
    <t>Mayo</t>
  </si>
  <si>
    <t>Junio</t>
  </si>
  <si>
    <t>Julio</t>
  </si>
  <si>
    <t>Agosto</t>
  </si>
  <si>
    <t>Septiembre</t>
  </si>
  <si>
    <t>Octubre</t>
  </si>
  <si>
    <t>Noviembre</t>
  </si>
  <si>
    <t>Diciembre</t>
  </si>
  <si>
    <t>FUNCIONAMIENTO</t>
  </si>
  <si>
    <t>INVERSIÓN</t>
  </si>
  <si>
    <t>SIIF NACIÓN</t>
  </si>
  <si>
    <t>META MINCIT</t>
  </si>
  <si>
    <t>$</t>
  </si>
  <si>
    <t>%</t>
  </si>
  <si>
    <t>AVANCE META</t>
  </si>
  <si>
    <t>OBLIGACIONES</t>
  </si>
  <si>
    <t>METAS EJECUCIÓN - ACUERDO DE DESEMPEÑO MINCIT</t>
  </si>
  <si>
    <t>PROPUESTA SIC 2018</t>
  </si>
  <si>
    <t>Funcionam. 2017</t>
  </si>
  <si>
    <t>Inversion 2017</t>
  </si>
  <si>
    <t>Presup. Inicial</t>
  </si>
  <si>
    <t>Fontic</t>
  </si>
  <si>
    <t>C-3599-0200-4</t>
  </si>
  <si>
    <t>IMPLEMENTACIÓN DE UNA SOLUCIÓN INMOBILIARIA PARA LA SUPERINTENDENCIA DE INDUSTRIA Y COMERCIO EN  BOGOTÁ</t>
  </si>
  <si>
    <t>POR EJECUTAR $</t>
  </si>
  <si>
    <t>C-3503-0200-9</t>
  </si>
  <si>
    <t>C-3599-0200-5</t>
  </si>
  <si>
    <t>C-3599-0200-6</t>
  </si>
  <si>
    <t>SUB
ITEM 2</t>
  </si>
  <si>
    <t>A-01-01-01</t>
  </si>
  <si>
    <t>01</t>
  </si>
  <si>
    <t>SALARIO</t>
  </si>
  <si>
    <t>A-01-01-02</t>
  </si>
  <si>
    <t>02</t>
  </si>
  <si>
    <t>CONTRIBUCIONES INHERENTES A LA NÓMINA</t>
  </si>
  <si>
    <t>A-01-01-03</t>
  </si>
  <si>
    <t>03</t>
  </si>
  <si>
    <t>REMUNERACIONES NO CONSTITUTIVAS DE FACTOR SALARIAL</t>
  </si>
  <si>
    <t>A-01-01-04</t>
  </si>
  <si>
    <t>04</t>
  </si>
  <si>
    <t>OTROS GASTOS DE PERSONAL - PREVIO CONCEPTO DGPPN</t>
  </si>
  <si>
    <t>A-02-01</t>
  </si>
  <si>
    <t>ADQUISICIÓN DE ACTIVOS NO FINANCIEROS</t>
  </si>
  <si>
    <t>A-02-02</t>
  </si>
  <si>
    <t>ADQUISICIONES DIFERENTES DE ACTIVOS</t>
  </si>
  <si>
    <t>A-03-02-02-097</t>
  </si>
  <si>
    <t>097</t>
  </si>
  <si>
    <t>A-03-02-02-105</t>
  </si>
  <si>
    <t>105</t>
  </si>
  <si>
    <t>A-03-03-04-007</t>
  </si>
  <si>
    <t>007</t>
  </si>
  <si>
    <t>PROVISIÓN PARA GASTOS INSTITUCIONALES Y/O SECTORIALES CONTINGENTES- PREVIO CONCEPTO DGPPN</t>
  </si>
  <si>
    <t>A-03-04-02-001</t>
  </si>
  <si>
    <t>001</t>
  </si>
  <si>
    <t>MESADAS PENSIONALES (DE PENSIONES)</t>
  </si>
  <si>
    <t>A-03-04-02-012</t>
  </si>
  <si>
    <t>012</t>
  </si>
  <si>
    <t>A-03-04-02-015</t>
  </si>
  <si>
    <t>015</t>
  </si>
  <si>
    <t>APORTE PREVISION SOCIAL SERVICIOS MEDICOS (NO DE PENSIONES)</t>
  </si>
  <si>
    <t>A-03-10-01-001</t>
  </si>
  <si>
    <t>SENTENCIAS</t>
  </si>
  <si>
    <t>A-03-10-01-002</t>
  </si>
  <si>
    <t>002</t>
  </si>
  <si>
    <t>CONCILIACIONES</t>
  </si>
  <si>
    <t>A-08-01</t>
  </si>
  <si>
    <t>08</t>
  </si>
  <si>
    <t>IMPUESTOS</t>
  </si>
  <si>
    <t>A-08-04-01</t>
  </si>
  <si>
    <t>CUOTA DE FISCALIZACIÓN Y AUDITAJE</t>
  </si>
  <si>
    <t>INCREMENTO DE LA COBERTURA DE LOS SERVICIOS DE LA RED NACIONAL DE PROTECCIÓN AL CONSUMIDOR EN EL TERRITORIO  NACIONAL</t>
  </si>
  <si>
    <t>C-3503-0200-10</t>
  </si>
  <si>
    <t>MEJORAMIENTO DEL CONTROL Y VIGILANCIA A LAS CÁMARAS DE COMERCIO Y COMERCIANTES A NIVEL  NACIONAL</t>
  </si>
  <si>
    <t>C-3503-0200-11</t>
  </si>
  <si>
    <t>11</t>
  </si>
  <si>
    <t>FORTALECIMIENTO DE LA FUNCIÓN JURISDICCIONAL DE LA SUPERINTENDENCIA DE INDUSTRIA Y COMERCIO A NIVEL  NACIONAL</t>
  </si>
  <si>
    <t>C-3503-0200-12</t>
  </si>
  <si>
    <t>12</t>
  </si>
  <si>
    <t>FORTALECIMIENTO DE LA PROTECCIÓN DE DATOS PERSONALES A NIVEL  NACIONAL</t>
  </si>
  <si>
    <t>C-3503-0200-13</t>
  </si>
  <si>
    <t>13</t>
  </si>
  <si>
    <t>FORTALECIMIENTO DEL RÉGIMEN DE PROTECCIÓN DE LA LIBRE COMPETENCIA ECONÓMICA EN LOS MERCADOS A NIVEL  NACIONAL</t>
  </si>
  <si>
    <t>C-3503-0200-14</t>
  </si>
  <si>
    <t>14</t>
  </si>
  <si>
    <t>FORTALECIMIENTO DE LA ATENCIÓN Y PROMOCIÓN DE TRÁMITES Y SERVICIOS EN EL MARCO DEL SISTEMA DE PROPIEDAD INDUSTRIAL A NIVEL  NACIONAL</t>
  </si>
  <si>
    <t>C-3503-0200-15</t>
  </si>
  <si>
    <t>15</t>
  </si>
  <si>
    <t>MEJORAMIENTO EN LA EJECUCIÓN DE LAS FUNCIONES ASIGNADAS EN MATERIA DE PROTECCIÓN AL CONSUMIDOR A NIVEL  NACIONAL</t>
  </si>
  <si>
    <t>C-3503-0200-16</t>
  </si>
  <si>
    <t>16</t>
  </si>
  <si>
    <t>FORTALECIMIENTO DE LA FUNCIÓN DE INSPECCIÓN, CONTROL Y VIGILANCIA DE LA SUPERINTENDENCIA DE INDUSTRIA Y COMERCIO EN EL MARCO DEL SUBSISTEMA NACIONAL DE CALIDAD, EL RÉGIMEN DE CONTROL DE PRECIOS Y EL SECTOR VALUATORIO A NIVEL  NACIONAL</t>
  </si>
  <si>
    <t>FORTALECIMIENTO DEL SISTEMA DE ATENCIÓN AL CIUDADANO DE LA SUPERINTENDENCIA DE INDUSTRIA Y COMERCIO A NIVEL  NACIONAL</t>
  </si>
  <si>
    <t>MEJORAMIENTO DE LOS SISTEMAS DE INFORMACIÓN Y SERVICIOS TECNOLÓGICOS DE LA SUPERINTENDENCIA DE INDUSTRIA Y COMERCIO EN EL TERRITORIO  NACIONAL</t>
  </si>
  <si>
    <t>C-3599-0200-7</t>
  </si>
  <si>
    <t>MEJORAMIENTO DE LA INFRAESTRUCTURA FÍSICA DE LA SEDE DE LA SUPERINTENDENCIA DE INDUSTRIA Y COMERCIO EN  BOGOTÁ</t>
  </si>
  <si>
    <t>C-3599-0200-8</t>
  </si>
  <si>
    <t>MEJORAMIENTO EN LA CALIDAD DE LA GESTIÓN ESTRATÉGICA DE LA SUPERINTENDENCIA DE INDUSTRIA Y COMERCIO A NIVEL  NACIONAL</t>
  </si>
  <si>
    <t>INCAPACIDADES Y LICENCIAS DE MATERNIDAD Y PATERNIDAD (NO DE PENSIONES)</t>
  </si>
  <si>
    <t>PROPUESTA SIC 2019</t>
  </si>
  <si>
    <t>Enero-Abril</t>
  </si>
  <si>
    <t>ABRIL - 2019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</si>
</sst>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_(&quot;$&quot;\ * #,##0.00_);_(&quot;$&quot;\ * \(#,##0.00\);_(&quot;$&quot;\ * &quot;-&quot;??_);_(@_)"/>
    <numFmt numFmtId="165" formatCode="_(* #,##0.00_);_(* \(#,##0.00\);_(* &quot;-&quot;??_);_(@_)"/>
    <numFmt numFmtId="166" formatCode="[$-1240A]&quot;$&quot;\ #,##0.00;\(&quot;$&quot;\ #,##0.00\)"/>
    <numFmt numFmtId="167" formatCode="[$-F800]dddd\,\ mmmm\ dd\,\ yyyy"/>
    <numFmt numFmtId="168" formatCode="_(* #,##0_);_(* \(#,##0\);_(* &quot;-&quot;??_);_(@_)"/>
    <numFmt numFmtId="169" formatCode="_-* #,##0_-;\-* #,##0_-;_-* &quot;-&quot;??_-;_-@_-"/>
    <numFmt numFmtId="170" formatCode="0.0%"/>
    <numFmt numFmtId="171" formatCode="0.000%"/>
    <numFmt numFmtId="172" formatCode="_(&quot;$&quot;\ * #,##0_);_(&quot;$&quot;\ * \(#,##0\);_(&quot;$&quot;\ * &quot;-&quot;??_);_(@_)"/>
  </numFmts>
  <fonts count="41" x14ac:knownFonts="1">
    <font>
      <sz val="11"/>
      <color rgb="FF000000"/>
      <name val="Calibri"/>
      <family val="2"/>
      <scheme val="minor"/>
    </font>
    <font>
      <sz val="11"/>
      <color theme="1"/>
      <name val="Calibri"/>
      <family val="2"/>
      <scheme val="minor"/>
    </font>
    <font>
      <sz val="11"/>
      <name val="Calibri"/>
      <family val="2"/>
    </font>
    <font>
      <sz val="11"/>
      <color rgb="FF000000"/>
      <name val="Calibri"/>
      <family val="2"/>
      <scheme val="minor"/>
    </font>
    <font>
      <b/>
      <sz val="11"/>
      <color theme="0"/>
      <name val="Calibri"/>
      <family val="2"/>
      <scheme val="minor"/>
    </font>
    <font>
      <b/>
      <sz val="11"/>
      <color theme="1"/>
      <name val="Calibri"/>
      <family val="2"/>
      <scheme val="minor"/>
    </font>
    <font>
      <i/>
      <sz val="8"/>
      <color theme="1"/>
      <name val="Calibri"/>
      <family val="2"/>
      <scheme val="minor"/>
    </font>
    <font>
      <sz val="9"/>
      <name val="Calibri"/>
      <family val="2"/>
    </font>
    <font>
      <b/>
      <sz val="11"/>
      <color theme="3"/>
      <name val="Calibri"/>
      <family val="2"/>
      <scheme val="minor"/>
    </font>
    <font>
      <sz val="12"/>
      <name val="Arial"/>
      <family val="2"/>
    </font>
    <font>
      <b/>
      <u val="double"/>
      <sz val="16"/>
      <color rgb="FF002060"/>
      <name val="Arial"/>
      <family val="2"/>
    </font>
    <font>
      <i/>
      <sz val="11"/>
      <name val="Arial"/>
      <family val="2"/>
    </font>
    <font>
      <b/>
      <sz val="11"/>
      <color theme="0"/>
      <name val="Arial"/>
      <family val="2"/>
    </font>
    <font>
      <b/>
      <sz val="11"/>
      <color rgb="FF000000"/>
      <name val="Arial"/>
      <family val="2"/>
    </font>
    <font>
      <b/>
      <sz val="11"/>
      <name val="Arial"/>
      <family val="2"/>
    </font>
    <font>
      <b/>
      <sz val="12"/>
      <name val="Arial"/>
      <family val="2"/>
    </font>
    <font>
      <sz val="11"/>
      <color rgb="FF000000"/>
      <name val="Arial"/>
      <family val="2"/>
    </font>
    <font>
      <sz val="11"/>
      <name val="Arial"/>
      <family val="2"/>
    </font>
    <font>
      <sz val="12"/>
      <color theme="0"/>
      <name val="Arial"/>
      <family val="2"/>
    </font>
    <font>
      <sz val="11"/>
      <name val="Calibri"/>
      <family val="2"/>
      <scheme val="minor"/>
    </font>
    <font>
      <b/>
      <sz val="16"/>
      <color theme="5" tint="-0.249977111117893"/>
      <name val="Calibri"/>
      <family val="2"/>
      <scheme val="minor"/>
    </font>
    <font>
      <b/>
      <sz val="11"/>
      <name val="Calibri"/>
      <family val="2"/>
      <scheme val="minor"/>
    </font>
    <font>
      <sz val="10"/>
      <name val="Arial"/>
      <family val="2"/>
    </font>
    <font>
      <b/>
      <sz val="11"/>
      <color theme="3"/>
      <name val="Arial"/>
      <family val="2"/>
    </font>
    <font>
      <b/>
      <sz val="11"/>
      <color rgb="FFFF0000"/>
      <name val="Arial"/>
      <family val="2"/>
    </font>
    <font>
      <sz val="11"/>
      <name val="Arial Narrow"/>
      <family val="2"/>
    </font>
    <font>
      <b/>
      <sz val="11"/>
      <color theme="1"/>
      <name val="Arial Narrow"/>
      <family val="2"/>
    </font>
    <font>
      <sz val="11"/>
      <color rgb="FF000000"/>
      <name val="Arial Narrow"/>
      <family val="2"/>
    </font>
    <font>
      <b/>
      <sz val="11"/>
      <name val="Arial Narrow"/>
      <family val="2"/>
    </font>
    <font>
      <sz val="9"/>
      <color indexed="81"/>
      <name val="Tahoma"/>
      <family val="2"/>
    </font>
    <font>
      <b/>
      <sz val="9"/>
      <color indexed="81"/>
      <name val="Tahoma"/>
      <family val="2"/>
    </font>
    <font>
      <b/>
      <sz val="11"/>
      <color theme="3" tint="-0.249977111117893"/>
      <name val="Arial Narrow"/>
      <family val="2"/>
    </font>
    <font>
      <b/>
      <sz val="11"/>
      <color rgb="FFFFCC00"/>
      <name val="Arial Narrow"/>
      <family val="2"/>
    </font>
    <font>
      <b/>
      <sz val="26"/>
      <name val="Calibri"/>
      <family val="2"/>
    </font>
    <font>
      <sz val="11"/>
      <color rgb="FF000000"/>
      <name val="Calibri"/>
      <family val="2"/>
    </font>
    <font>
      <b/>
      <sz val="11"/>
      <color rgb="FF000000"/>
      <name val="Calibri"/>
      <family val="2"/>
    </font>
    <font>
      <b/>
      <sz val="36"/>
      <color rgb="FFC00000"/>
      <name val="Calibri"/>
      <family val="2"/>
      <scheme val="minor"/>
    </font>
    <font>
      <b/>
      <sz val="9"/>
      <color rgb="FFFFCC00"/>
      <name val="Arial Narrow"/>
      <family val="2"/>
    </font>
    <font>
      <b/>
      <sz val="9"/>
      <color rgb="FF000000"/>
      <name val="Times New Roman"/>
      <family val="1"/>
    </font>
    <font>
      <sz val="8"/>
      <color rgb="FF000000"/>
      <name val="Times New Roman"/>
      <family val="1"/>
    </font>
    <font>
      <b/>
      <sz val="8"/>
      <color rgb="FF000000"/>
      <name val="Times New Roman"/>
      <family val="1"/>
    </font>
  </fonts>
  <fills count="21">
    <fill>
      <patternFill patternType="none"/>
    </fill>
    <fill>
      <patternFill patternType="gray125"/>
    </fill>
    <fill>
      <patternFill patternType="solid">
        <fgColor theme="0" tint="-0.499984740745262"/>
        <bgColor indexed="64"/>
      </patternFill>
    </fill>
    <fill>
      <patternFill patternType="solid">
        <fgColor rgb="FF66FFFF"/>
        <bgColor indexed="64"/>
      </patternFill>
    </fill>
    <fill>
      <patternFill patternType="solid">
        <fgColor rgb="FFFF99CC"/>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2" tint="-0.89999084444715716"/>
        <bgColor indexed="64"/>
      </patternFill>
    </fill>
    <fill>
      <patternFill patternType="solid">
        <fgColor theme="0"/>
        <bgColor indexed="64"/>
      </patternFill>
    </fill>
    <fill>
      <patternFill patternType="solid">
        <fgColor rgb="FFFFCC00"/>
        <bgColor indexed="64"/>
      </patternFill>
    </fill>
    <fill>
      <patternFill patternType="solid">
        <fgColor theme="4" tint="0.59999389629810485"/>
        <bgColor indexed="64"/>
      </patternFill>
    </fill>
    <fill>
      <patternFill patternType="solid">
        <fgColor theme="3" tint="-0.249977111117893"/>
        <bgColor indexed="64"/>
      </patternFill>
    </fill>
    <fill>
      <patternFill patternType="solid">
        <fgColor rgb="FF92D050"/>
        <bgColor indexed="64"/>
      </patternFill>
    </fill>
    <fill>
      <patternFill patternType="solid">
        <fgColor rgb="FF70AD47"/>
        <bgColor rgb="FF000000"/>
      </patternFill>
    </fill>
    <fill>
      <patternFill patternType="solid">
        <fgColor rgb="FFAEAAAA"/>
        <bgColor rgb="FF000000"/>
      </patternFill>
    </fill>
  </fills>
  <borders count="44">
    <border>
      <left/>
      <right/>
      <top/>
      <bottom/>
      <diagonal/>
    </border>
    <border>
      <left style="thin">
        <color rgb="FFD3D3D3"/>
      </left>
      <right style="thin">
        <color rgb="FFD3D3D3"/>
      </right>
      <top style="thin">
        <color rgb="FFD3D3D3"/>
      </top>
      <bottom style="thin">
        <color rgb="FFD3D3D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indexed="64"/>
      </right>
      <top style="thin">
        <color indexed="64"/>
      </top>
      <bottom style="thin">
        <color indexed="64"/>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theme="0"/>
      </top>
      <bottom/>
      <diagonal/>
    </border>
    <border>
      <left/>
      <right/>
      <top style="thin">
        <color theme="0"/>
      </top>
      <bottom/>
      <diagonal/>
    </border>
    <border>
      <left/>
      <right style="medium">
        <color indexed="64"/>
      </right>
      <top style="thin">
        <color theme="0"/>
      </top>
      <bottom/>
      <diagonal/>
    </border>
    <border>
      <left style="medium">
        <color indexed="64"/>
      </left>
      <right/>
      <top/>
      <bottom style="thin">
        <color indexed="64"/>
      </bottom>
      <diagonal/>
    </border>
    <border>
      <left/>
      <right style="medium">
        <color indexed="64"/>
      </right>
      <top/>
      <bottom style="thin">
        <color indexed="64"/>
      </bottom>
      <diagonal/>
    </border>
  </borders>
  <cellStyleXfs count="11">
    <xf numFmtId="0" fontId="0"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 fillId="0" borderId="0"/>
    <xf numFmtId="0" fontId="22" fillId="0" borderId="0"/>
    <xf numFmtId="9" fontId="22" fillId="0" borderId="0" applyFont="0" applyFill="0" applyBorder="0" applyAlignment="0" applyProtection="0"/>
    <xf numFmtId="164" fontId="3" fillId="0" borderId="0" applyFont="0" applyFill="0" applyBorder="0" applyAlignment="0" applyProtection="0"/>
  </cellStyleXfs>
  <cellXfs count="271">
    <xf numFmtId="0" fontId="2" fillId="0" borderId="0" xfId="0" applyFont="1" applyFill="1" applyBorder="1"/>
    <xf numFmtId="0" fontId="2" fillId="0" borderId="0" xfId="0" applyFont="1" applyFill="1" applyBorder="1" applyAlignment="1">
      <alignment horizontal="left" indent="1"/>
    </xf>
    <xf numFmtId="0" fontId="2" fillId="0" borderId="0" xfId="0" pivotButton="1" applyFont="1" applyFill="1" applyBorder="1" applyAlignment="1">
      <alignment wrapText="1"/>
    </xf>
    <xf numFmtId="0" fontId="2" fillId="0" borderId="0" xfId="0" applyFont="1" applyFill="1" applyBorder="1" applyAlignment="1">
      <alignment horizontal="left" wrapText="1"/>
    </xf>
    <xf numFmtId="0" fontId="2" fillId="0" borderId="0" xfId="0" applyFont="1" applyFill="1" applyBorder="1" applyAlignment="1">
      <alignment wrapText="1"/>
    </xf>
    <xf numFmtId="165" fontId="2" fillId="0" borderId="0" xfId="1" applyFont="1" applyFill="1" applyBorder="1"/>
    <xf numFmtId="0" fontId="5" fillId="0" borderId="0" xfId="0" applyFont="1"/>
    <xf numFmtId="0" fontId="0" fillId="0" borderId="0" xfId="0"/>
    <xf numFmtId="167" fontId="6" fillId="0" borderId="0" xfId="0" applyNumberFormat="1" applyFont="1" applyAlignment="1">
      <alignment horizontal="left" vertical="center" wrapText="1"/>
    </xf>
    <xf numFmtId="0" fontId="5" fillId="2" borderId="2" xfId="0" applyFont="1" applyFill="1" applyBorder="1" applyAlignment="1">
      <alignment horizontal="center" vertical="center"/>
    </xf>
    <xf numFmtId="0" fontId="5" fillId="3" borderId="2" xfId="0" applyFont="1" applyFill="1" applyBorder="1" applyAlignment="1">
      <alignment horizontal="center" vertical="center"/>
    </xf>
    <xf numFmtId="0" fontId="5" fillId="4" borderId="2" xfId="0" applyFont="1" applyFill="1" applyBorder="1" applyAlignment="1">
      <alignment horizontal="center" vertical="center"/>
    </xf>
    <xf numFmtId="0" fontId="5" fillId="5" borderId="2" xfId="0" applyFont="1" applyFill="1" applyBorder="1" applyAlignment="1">
      <alignment horizontal="center" vertical="center"/>
    </xf>
    <xf numFmtId="0" fontId="5" fillId="6" borderId="2" xfId="0" applyFont="1" applyFill="1" applyBorder="1" applyAlignment="1">
      <alignment horizontal="center" vertical="center"/>
    </xf>
    <xf numFmtId="0" fontId="5" fillId="7" borderId="2" xfId="0" applyFont="1" applyFill="1" applyBorder="1" applyAlignment="1">
      <alignment horizontal="center" vertical="center"/>
    </xf>
    <xf numFmtId="0" fontId="5" fillId="8" borderId="2" xfId="0" applyFont="1" applyFill="1" applyBorder="1" applyAlignment="1">
      <alignment horizontal="center" vertical="center"/>
    </xf>
    <xf numFmtId="0" fontId="5" fillId="9" borderId="2" xfId="0" applyFont="1" applyFill="1" applyBorder="1" applyAlignment="1">
      <alignment horizontal="center" vertical="center"/>
    </xf>
    <xf numFmtId="0" fontId="5" fillId="10" borderId="2" xfId="0" applyFont="1" applyFill="1" applyBorder="1" applyAlignment="1">
      <alignment horizontal="center" vertical="center"/>
    </xf>
    <xf numFmtId="0" fontId="5" fillId="11" borderId="3" xfId="0" applyFont="1" applyFill="1" applyBorder="1"/>
    <xf numFmtId="165" fontId="5" fillId="0" borderId="3" xfId="1" applyFont="1" applyBorder="1"/>
    <xf numFmtId="10" fontId="5" fillId="0" borderId="3" xfId="2" applyNumberFormat="1" applyFont="1" applyBorder="1"/>
    <xf numFmtId="0" fontId="0" fillId="11" borderId="4" xfId="0" applyFill="1" applyBorder="1"/>
    <xf numFmtId="165" fontId="0" fillId="0" borderId="4" xfId="1" applyFont="1" applyBorder="1"/>
    <xf numFmtId="10" fontId="0" fillId="0" borderId="4" xfId="2" applyNumberFormat="1" applyFont="1" applyBorder="1"/>
    <xf numFmtId="43" fontId="0" fillId="0" borderId="4" xfId="0" applyNumberFormat="1" applyBorder="1"/>
    <xf numFmtId="0" fontId="0" fillId="11" borderId="5" xfId="0" applyFill="1" applyBorder="1"/>
    <xf numFmtId="165" fontId="0" fillId="0" borderId="5" xfId="1" applyFont="1" applyBorder="1"/>
    <xf numFmtId="10" fontId="0" fillId="0" borderId="5" xfId="2" applyNumberFormat="1" applyFont="1" applyBorder="1"/>
    <xf numFmtId="43" fontId="0" fillId="0" borderId="5" xfId="0" applyNumberFormat="1" applyBorder="1"/>
    <xf numFmtId="0" fontId="5" fillId="11" borderId="2" xfId="0" applyFont="1" applyFill="1" applyBorder="1"/>
    <xf numFmtId="165" fontId="5" fillId="0" borderId="2" xfId="1" applyFont="1" applyBorder="1"/>
    <xf numFmtId="10" fontId="5" fillId="0" borderId="2" xfId="2" applyNumberFormat="1" applyFont="1" applyBorder="1"/>
    <xf numFmtId="43" fontId="5" fillId="0" borderId="2" xfId="0" applyNumberFormat="1" applyFont="1" applyBorder="1"/>
    <xf numFmtId="0" fontId="5" fillId="2" borderId="2" xfId="0" applyFont="1" applyFill="1" applyBorder="1"/>
    <xf numFmtId="165" fontId="5" fillId="2" borderId="2" xfId="1" applyFont="1" applyFill="1" applyBorder="1"/>
    <xf numFmtId="165" fontId="5" fillId="3" borderId="2" xfId="1" applyFont="1" applyFill="1" applyBorder="1"/>
    <xf numFmtId="10" fontId="5" fillId="3" borderId="2" xfId="2" applyNumberFormat="1" applyFont="1" applyFill="1" applyBorder="1"/>
    <xf numFmtId="165" fontId="5" fillId="4" borderId="2" xfId="1" applyFont="1" applyFill="1" applyBorder="1"/>
    <xf numFmtId="10" fontId="5" fillId="4" borderId="2" xfId="2" applyNumberFormat="1" applyFont="1" applyFill="1" applyBorder="1"/>
    <xf numFmtId="165" fontId="5" fillId="5" borderId="2" xfId="1" applyFont="1" applyFill="1" applyBorder="1"/>
    <xf numFmtId="10" fontId="5" fillId="5" borderId="2" xfId="2" applyNumberFormat="1" applyFont="1" applyFill="1" applyBorder="1"/>
    <xf numFmtId="165" fontId="5" fillId="6" borderId="2" xfId="1" applyFont="1" applyFill="1" applyBorder="1"/>
    <xf numFmtId="10" fontId="5" fillId="6" borderId="2" xfId="2" applyNumberFormat="1" applyFont="1" applyFill="1" applyBorder="1"/>
    <xf numFmtId="165" fontId="5" fillId="7" borderId="2" xfId="1" applyFont="1" applyFill="1" applyBorder="1"/>
    <xf numFmtId="10" fontId="5" fillId="7" borderId="2" xfId="2" applyNumberFormat="1" applyFont="1" applyFill="1" applyBorder="1"/>
    <xf numFmtId="165" fontId="5" fillId="8" borderId="2" xfId="1" applyFont="1" applyFill="1" applyBorder="1"/>
    <xf numFmtId="10" fontId="5" fillId="8" borderId="2" xfId="2" applyNumberFormat="1" applyFont="1" applyFill="1" applyBorder="1"/>
    <xf numFmtId="165" fontId="5" fillId="9" borderId="2" xfId="1" applyFont="1" applyFill="1" applyBorder="1"/>
    <xf numFmtId="10" fontId="5" fillId="9" borderId="2" xfId="2" applyNumberFormat="1" applyFont="1" applyFill="1" applyBorder="1"/>
    <xf numFmtId="165" fontId="5" fillId="12" borderId="2" xfId="1" applyFont="1" applyFill="1" applyBorder="1"/>
    <xf numFmtId="10" fontId="5" fillId="12" borderId="2" xfId="2" applyNumberFormat="1" applyFont="1" applyFill="1" applyBorder="1"/>
    <xf numFmtId="168" fontId="7" fillId="0" borderId="0" xfId="1" applyNumberFormat="1" applyFont="1" applyFill="1" applyBorder="1"/>
    <xf numFmtId="0" fontId="5" fillId="2" borderId="12" xfId="0" applyFont="1" applyFill="1" applyBorder="1" applyAlignment="1">
      <alignment horizontal="center" vertical="center"/>
    </xf>
    <xf numFmtId="0" fontId="5" fillId="5" borderId="12" xfId="0" applyFont="1" applyFill="1" applyBorder="1" applyAlignment="1">
      <alignment horizontal="center" vertical="center"/>
    </xf>
    <xf numFmtId="0" fontId="5" fillId="6" borderId="12" xfId="0" applyFont="1" applyFill="1" applyBorder="1" applyAlignment="1">
      <alignment horizontal="center" vertical="center"/>
    </xf>
    <xf numFmtId="0" fontId="5" fillId="11" borderId="6" xfId="0" applyFont="1" applyFill="1" applyBorder="1" applyAlignment="1">
      <alignment vertical="center"/>
    </xf>
    <xf numFmtId="0" fontId="0" fillId="11" borderId="6" xfId="0" applyFill="1" applyBorder="1" applyAlignment="1">
      <alignment vertical="center"/>
    </xf>
    <xf numFmtId="0" fontId="5" fillId="11" borderId="13" xfId="0" applyFont="1" applyFill="1" applyBorder="1" applyAlignment="1">
      <alignment vertical="center"/>
    </xf>
    <xf numFmtId="0" fontId="5" fillId="11" borderId="16" xfId="0" applyFont="1" applyFill="1" applyBorder="1" applyAlignment="1">
      <alignment vertical="center"/>
    </xf>
    <xf numFmtId="0" fontId="0" fillId="11" borderId="13" xfId="0" applyFill="1" applyBorder="1" applyAlignment="1">
      <alignment vertical="center"/>
    </xf>
    <xf numFmtId="0" fontId="0" fillId="11" borderId="16" xfId="0" applyFill="1" applyBorder="1" applyAlignment="1">
      <alignment vertical="center"/>
    </xf>
    <xf numFmtId="0" fontId="5" fillId="2" borderId="6" xfId="0" applyFont="1" applyFill="1" applyBorder="1" applyAlignment="1">
      <alignment vertical="center"/>
    </xf>
    <xf numFmtId="0" fontId="5" fillId="2" borderId="13" xfId="0" applyFont="1" applyFill="1" applyBorder="1" applyAlignment="1">
      <alignment vertical="center"/>
    </xf>
    <xf numFmtId="0" fontId="5" fillId="2" borderId="16" xfId="0" applyFont="1" applyFill="1" applyBorder="1" applyAlignment="1">
      <alignment vertical="center"/>
    </xf>
    <xf numFmtId="165" fontId="5" fillId="0" borderId="13" xfId="1" applyFont="1" applyFill="1" applyBorder="1" applyAlignment="1">
      <alignment vertical="center"/>
    </xf>
    <xf numFmtId="165" fontId="5" fillId="0" borderId="6" xfId="1" applyFont="1" applyFill="1" applyBorder="1" applyAlignment="1">
      <alignment vertical="center"/>
    </xf>
    <xf numFmtId="165" fontId="5" fillId="0" borderId="16" xfId="1" applyFont="1" applyFill="1" applyBorder="1" applyAlignment="1">
      <alignment vertical="center"/>
    </xf>
    <xf numFmtId="165" fontId="0" fillId="0" borderId="13" xfId="1" applyFont="1" applyFill="1" applyBorder="1" applyAlignment="1">
      <alignment vertical="center"/>
    </xf>
    <xf numFmtId="165" fontId="0" fillId="0" borderId="6" xfId="1" applyFont="1" applyFill="1" applyBorder="1" applyAlignment="1">
      <alignment vertical="center"/>
    </xf>
    <xf numFmtId="165" fontId="0" fillId="0" borderId="16" xfId="1" applyFont="1" applyFill="1" applyBorder="1" applyAlignment="1">
      <alignment vertical="center"/>
    </xf>
    <xf numFmtId="165" fontId="5" fillId="2" borderId="13" xfId="1" applyFont="1" applyFill="1" applyBorder="1" applyAlignment="1">
      <alignment vertical="center"/>
    </xf>
    <xf numFmtId="165" fontId="5" fillId="2" borderId="6" xfId="1" applyFont="1" applyFill="1" applyBorder="1" applyAlignment="1">
      <alignment vertical="center"/>
    </xf>
    <xf numFmtId="165" fontId="5" fillId="2" borderId="16" xfId="1" applyFont="1" applyFill="1" applyBorder="1" applyAlignment="1">
      <alignment vertical="center"/>
    </xf>
    <xf numFmtId="10" fontId="5" fillId="0" borderId="13" xfId="2" applyNumberFormat="1" applyFont="1" applyFill="1" applyBorder="1" applyAlignment="1">
      <alignment vertical="center"/>
    </xf>
    <xf numFmtId="10" fontId="5" fillId="0" borderId="6" xfId="2" applyNumberFormat="1" applyFont="1" applyFill="1" applyBorder="1" applyAlignment="1">
      <alignment vertical="center"/>
    </xf>
    <xf numFmtId="10" fontId="5" fillId="0" borderId="16" xfId="2" applyNumberFormat="1" applyFont="1" applyFill="1" applyBorder="1" applyAlignment="1">
      <alignment vertical="center"/>
    </xf>
    <xf numFmtId="10" fontId="0" fillId="0" borderId="13" xfId="2" applyNumberFormat="1" applyFont="1" applyFill="1" applyBorder="1" applyAlignment="1">
      <alignment vertical="center"/>
    </xf>
    <xf numFmtId="10" fontId="0" fillId="0" borderId="14" xfId="2" applyNumberFormat="1" applyFont="1" applyFill="1" applyBorder="1" applyAlignment="1">
      <alignment vertical="center"/>
    </xf>
    <xf numFmtId="10" fontId="0" fillId="0" borderId="6" xfId="2" applyNumberFormat="1" applyFont="1" applyFill="1" applyBorder="1" applyAlignment="1">
      <alignment vertical="center"/>
    </xf>
    <xf numFmtId="10" fontId="0" fillId="0" borderId="15" xfId="2" applyNumberFormat="1" applyFont="1" applyFill="1" applyBorder="1" applyAlignment="1">
      <alignment vertical="center"/>
    </xf>
    <xf numFmtId="10" fontId="0" fillId="0" borderId="16" xfId="2" applyNumberFormat="1" applyFont="1" applyFill="1" applyBorder="1" applyAlignment="1">
      <alignment vertical="center"/>
    </xf>
    <xf numFmtId="10" fontId="0" fillId="0" borderId="17" xfId="2" applyNumberFormat="1" applyFont="1" applyFill="1" applyBorder="1" applyAlignment="1">
      <alignment vertical="center"/>
    </xf>
    <xf numFmtId="10" fontId="5" fillId="0" borderId="14" xfId="2" applyNumberFormat="1" applyFont="1" applyFill="1" applyBorder="1" applyAlignment="1">
      <alignment vertical="center"/>
    </xf>
    <xf numFmtId="10" fontId="5" fillId="0" borderId="15" xfId="2" applyNumberFormat="1" applyFont="1" applyFill="1" applyBorder="1" applyAlignment="1">
      <alignment vertical="center"/>
    </xf>
    <xf numFmtId="10" fontId="5" fillId="2" borderId="13" xfId="2" applyNumberFormat="1" applyFont="1" applyFill="1" applyBorder="1" applyAlignment="1">
      <alignment vertical="center"/>
    </xf>
    <xf numFmtId="10" fontId="5" fillId="2" borderId="14" xfId="2" applyNumberFormat="1" applyFont="1" applyFill="1" applyBorder="1" applyAlignment="1">
      <alignment vertical="center"/>
    </xf>
    <xf numFmtId="10" fontId="5" fillId="2" borderId="6" xfId="2" applyNumberFormat="1" applyFont="1" applyFill="1" applyBorder="1" applyAlignment="1">
      <alignment vertical="center"/>
    </xf>
    <xf numFmtId="10" fontId="5" fillId="2" borderId="15" xfId="2" applyNumberFormat="1" applyFont="1" applyFill="1" applyBorder="1" applyAlignment="1">
      <alignment vertical="center"/>
    </xf>
    <xf numFmtId="10" fontId="5" fillId="2" borderId="16" xfId="2" applyNumberFormat="1" applyFont="1" applyFill="1" applyBorder="1" applyAlignment="1">
      <alignment vertical="center"/>
    </xf>
    <xf numFmtId="10" fontId="5" fillId="2" borderId="17" xfId="2" applyNumberFormat="1" applyFont="1" applyFill="1" applyBorder="1" applyAlignment="1">
      <alignment vertical="center"/>
    </xf>
    <xf numFmtId="10" fontId="5" fillId="0" borderId="17" xfId="2" applyNumberFormat="1" applyFont="1" applyFill="1" applyBorder="1" applyAlignment="1">
      <alignment vertical="center"/>
    </xf>
    <xf numFmtId="165" fontId="4" fillId="13" borderId="20" xfId="1" applyFont="1" applyFill="1" applyBorder="1" applyAlignment="1">
      <alignment vertical="center"/>
    </xf>
    <xf numFmtId="10" fontId="4" fillId="13" borderId="20" xfId="2" applyNumberFormat="1" applyFont="1" applyFill="1" applyBorder="1" applyAlignment="1">
      <alignment vertical="center"/>
    </xf>
    <xf numFmtId="10" fontId="4" fillId="13" borderId="21" xfId="2" applyNumberFormat="1" applyFont="1" applyFill="1" applyBorder="1" applyAlignment="1">
      <alignment vertical="center"/>
    </xf>
    <xf numFmtId="0" fontId="2" fillId="0" borderId="0" xfId="0" pivotButton="1" applyFont="1" applyFill="1" applyBorder="1"/>
    <xf numFmtId="0" fontId="2" fillId="0" borderId="0" xfId="0" applyFont="1" applyFill="1" applyBorder="1" applyAlignment="1">
      <alignment horizontal="left" indent="2"/>
    </xf>
    <xf numFmtId="0" fontId="9" fillId="14" borderId="0" xfId="3" applyFont="1" applyFill="1" applyBorder="1" applyAlignment="1">
      <alignment vertical="center"/>
    </xf>
    <xf numFmtId="0" fontId="10" fillId="14" borderId="0" xfId="3" applyFont="1" applyFill="1" applyBorder="1" applyAlignment="1">
      <alignment vertical="center"/>
    </xf>
    <xf numFmtId="169" fontId="9" fillId="14" borderId="0" xfId="4" applyNumberFormat="1" applyFont="1" applyFill="1" applyBorder="1" applyAlignment="1">
      <alignment vertical="center"/>
    </xf>
    <xf numFmtId="9" fontId="9" fillId="14" borderId="0" xfId="5" applyFont="1" applyFill="1" applyBorder="1" applyAlignment="1">
      <alignment vertical="center"/>
    </xf>
    <xf numFmtId="0" fontId="9" fillId="0" borderId="0" xfId="3" applyFont="1" applyFill="1" applyBorder="1" applyAlignment="1">
      <alignment vertical="center"/>
    </xf>
    <xf numFmtId="0" fontId="11" fillId="14" borderId="0" xfId="3" applyFont="1" applyFill="1" applyBorder="1" applyAlignment="1">
      <alignment vertical="center"/>
    </xf>
    <xf numFmtId="17" fontId="11" fillId="14" borderId="0" xfId="3" quotePrefix="1" applyNumberFormat="1" applyFont="1" applyFill="1" applyBorder="1" applyAlignment="1">
      <alignment vertical="center"/>
    </xf>
    <xf numFmtId="169" fontId="9" fillId="14" borderId="0" xfId="3" applyNumberFormat="1" applyFont="1" applyFill="1" applyBorder="1" applyAlignment="1">
      <alignment vertical="center"/>
    </xf>
    <xf numFmtId="0" fontId="15" fillId="0" borderId="0" xfId="3" applyFont="1" applyFill="1" applyBorder="1" applyAlignment="1">
      <alignment vertical="center"/>
    </xf>
    <xf numFmtId="0" fontId="18" fillId="0" borderId="0" xfId="3" applyFont="1" applyFill="1" applyBorder="1" applyAlignment="1">
      <alignment vertical="center"/>
    </xf>
    <xf numFmtId="169" fontId="18" fillId="0" borderId="0" xfId="4" applyNumberFormat="1" applyFont="1" applyFill="1" applyBorder="1" applyAlignment="1">
      <alignment vertical="center"/>
    </xf>
    <xf numFmtId="169" fontId="18" fillId="0" borderId="0" xfId="3" applyNumberFormat="1" applyFont="1" applyFill="1" applyBorder="1" applyAlignment="1">
      <alignment vertical="center"/>
    </xf>
    <xf numFmtId="10" fontId="18" fillId="0" borderId="0" xfId="5" applyNumberFormat="1" applyFont="1" applyFill="1" applyBorder="1" applyAlignment="1">
      <alignment vertical="center"/>
    </xf>
    <xf numFmtId="169" fontId="9" fillId="0" borderId="0" xfId="3" applyNumberFormat="1" applyFont="1" applyFill="1" applyBorder="1" applyAlignment="1">
      <alignment vertical="center"/>
    </xf>
    <xf numFmtId="171" fontId="9" fillId="0" borderId="0" xfId="6" applyNumberFormat="1" applyFont="1" applyFill="1" applyBorder="1" applyAlignment="1">
      <alignment vertical="center"/>
    </xf>
    <xf numFmtId="169" fontId="9" fillId="0" borderId="0" xfId="4" applyNumberFormat="1" applyFont="1" applyFill="1" applyBorder="1" applyAlignment="1">
      <alignment vertical="center"/>
    </xf>
    <xf numFmtId="9" fontId="9" fillId="0" borderId="0" xfId="5" applyFont="1" applyFill="1" applyBorder="1" applyAlignment="1">
      <alignment vertical="center"/>
    </xf>
    <xf numFmtId="0" fontId="19" fillId="14" borderId="28" xfId="7" applyFont="1" applyFill="1" applyBorder="1" applyAlignment="1">
      <alignment horizontal="left"/>
    </xf>
    <xf numFmtId="0" fontId="19" fillId="14" borderId="28" xfId="7" applyFont="1" applyFill="1" applyBorder="1"/>
    <xf numFmtId="0" fontId="21" fillId="14" borderId="6" xfId="7" applyFont="1" applyFill="1" applyBorder="1" applyAlignment="1">
      <alignment horizontal="center"/>
    </xf>
    <xf numFmtId="0" fontId="19" fillId="14" borderId="29" xfId="7" applyFont="1" applyFill="1" applyBorder="1"/>
    <xf numFmtId="10" fontId="23" fillId="18" borderId="6" xfId="6" applyNumberFormat="1" applyFont="1" applyFill="1" applyBorder="1" applyAlignment="1">
      <alignment horizontal="right"/>
    </xf>
    <xf numFmtId="10" fontId="24" fillId="18" borderId="6" xfId="6" applyNumberFormat="1" applyFont="1" applyFill="1" applyBorder="1" applyAlignment="1">
      <alignment horizontal="right"/>
    </xf>
    <xf numFmtId="0" fontId="8" fillId="14" borderId="28" xfId="7" applyFont="1" applyFill="1" applyBorder="1"/>
    <xf numFmtId="10" fontId="23" fillId="18" borderId="6" xfId="9" applyNumberFormat="1" applyFont="1" applyFill="1" applyBorder="1"/>
    <xf numFmtId="10" fontId="24" fillId="18" borderId="6" xfId="9" applyNumberFormat="1" applyFont="1" applyFill="1" applyBorder="1"/>
    <xf numFmtId="0" fontId="25" fillId="0" borderId="0" xfId="0" applyFont="1" applyFill="1" applyBorder="1"/>
    <xf numFmtId="0" fontId="26" fillId="2" borderId="2" xfId="0" applyFont="1" applyFill="1" applyBorder="1" applyAlignment="1">
      <alignment horizontal="center" vertical="center"/>
    </xf>
    <xf numFmtId="0" fontId="26" fillId="11" borderId="3" xfId="0" applyFont="1" applyFill="1" applyBorder="1"/>
    <xf numFmtId="165" fontId="26" fillId="0" borderId="3" xfId="1" applyFont="1" applyBorder="1"/>
    <xf numFmtId="10" fontId="26" fillId="0" borderId="3" xfId="2" applyNumberFormat="1" applyFont="1" applyBorder="1"/>
    <xf numFmtId="0" fontId="27" fillId="11" borderId="4" xfId="0" applyFont="1" applyFill="1" applyBorder="1"/>
    <xf numFmtId="165" fontId="27" fillId="0" borderId="4" xfId="1" applyFont="1" applyBorder="1"/>
    <xf numFmtId="10" fontId="27" fillId="0" borderId="4" xfId="2" applyNumberFormat="1" applyFont="1" applyBorder="1"/>
    <xf numFmtId="0" fontId="27" fillId="11" borderId="5" xfId="0" applyFont="1" applyFill="1" applyBorder="1"/>
    <xf numFmtId="165" fontId="27" fillId="0" borderId="5" xfId="1" applyFont="1" applyBorder="1"/>
    <xf numFmtId="10" fontId="27" fillId="0" borderId="5" xfId="2" applyNumberFormat="1" applyFont="1" applyBorder="1"/>
    <xf numFmtId="0" fontId="26" fillId="11" borderId="2" xfId="0" applyFont="1" applyFill="1" applyBorder="1"/>
    <xf numFmtId="165" fontId="26" fillId="0" borderId="2" xfId="1" applyFont="1" applyBorder="1"/>
    <xf numFmtId="10" fontId="26" fillId="0" borderId="2" xfId="2" applyNumberFormat="1" applyFont="1" applyBorder="1"/>
    <xf numFmtId="0" fontId="26" fillId="2" borderId="2" xfId="0" applyFont="1" applyFill="1" applyBorder="1"/>
    <xf numFmtId="165" fontId="26" fillId="2" borderId="2" xfId="1" applyFont="1" applyFill="1" applyBorder="1"/>
    <xf numFmtId="0" fontId="32" fillId="17" borderId="2" xfId="0" applyFont="1" applyFill="1" applyBorder="1" applyAlignment="1">
      <alignment horizontal="center" vertical="center"/>
    </xf>
    <xf numFmtId="0" fontId="32" fillId="17" borderId="18" xfId="0" applyFont="1" applyFill="1" applyBorder="1" applyAlignment="1">
      <alignment horizontal="center" vertical="center"/>
    </xf>
    <xf numFmtId="165" fontId="32" fillId="17" borderId="2" xfId="1" applyFont="1" applyFill="1" applyBorder="1"/>
    <xf numFmtId="10" fontId="32" fillId="17" borderId="2" xfId="2" applyNumberFormat="1" applyFont="1" applyFill="1" applyBorder="1"/>
    <xf numFmtId="0" fontId="31" fillId="15" borderId="2" xfId="0" applyFont="1" applyFill="1" applyBorder="1" applyAlignment="1">
      <alignment horizontal="center" vertical="center"/>
    </xf>
    <xf numFmtId="165" fontId="31" fillId="15" borderId="2" xfId="1" applyFont="1" applyFill="1" applyBorder="1"/>
    <xf numFmtId="10" fontId="31" fillId="15" borderId="2" xfId="2" applyNumberFormat="1" applyFont="1" applyFill="1" applyBorder="1"/>
    <xf numFmtId="0" fontId="21" fillId="14" borderId="25" xfId="7" applyFont="1" applyFill="1" applyBorder="1" applyAlignment="1">
      <alignment horizontal="center"/>
    </xf>
    <xf numFmtId="0" fontId="19" fillId="14" borderId="32" xfId="7" applyFont="1" applyFill="1" applyBorder="1" applyAlignment="1">
      <alignment horizontal="left"/>
    </xf>
    <xf numFmtId="0" fontId="20" fillId="14" borderId="32" xfId="7" applyFont="1" applyFill="1" applyBorder="1" applyAlignment="1">
      <alignment horizontal="left"/>
    </xf>
    <xf numFmtId="0" fontId="23" fillId="18" borderId="25" xfId="8" applyFont="1" applyFill="1" applyBorder="1" applyAlignment="1">
      <alignment horizontal="left"/>
    </xf>
    <xf numFmtId="10" fontId="19" fillId="14" borderId="33" xfId="7" applyNumberFormat="1" applyFont="1" applyFill="1" applyBorder="1"/>
    <xf numFmtId="0" fontId="21" fillId="14" borderId="34" xfId="7" applyFont="1" applyFill="1" applyBorder="1" applyAlignment="1">
      <alignment horizontal="center"/>
    </xf>
    <xf numFmtId="0" fontId="21" fillId="14" borderId="15" xfId="7" applyFont="1" applyFill="1" applyBorder="1" applyAlignment="1">
      <alignment horizontal="center"/>
    </xf>
    <xf numFmtId="0" fontId="19" fillId="14" borderId="35" xfId="7" applyFont="1" applyFill="1" applyBorder="1"/>
    <xf numFmtId="0" fontId="19" fillId="14" borderId="36" xfId="7" applyFont="1" applyFill="1" applyBorder="1"/>
    <xf numFmtId="10" fontId="23" fillId="18" borderId="34" xfId="6" applyNumberFormat="1" applyFont="1" applyFill="1" applyBorder="1" applyAlignment="1">
      <alignment horizontal="right"/>
    </xf>
    <xf numFmtId="10" fontId="23" fillId="18" borderId="15" xfId="6" applyNumberFormat="1" applyFont="1" applyFill="1" applyBorder="1" applyAlignment="1">
      <alignment horizontal="right"/>
    </xf>
    <xf numFmtId="10" fontId="23" fillId="18" borderId="34" xfId="9" applyNumberFormat="1" applyFont="1" applyFill="1" applyBorder="1"/>
    <xf numFmtId="10" fontId="23" fillId="18" borderId="15" xfId="9" applyNumberFormat="1" applyFont="1" applyFill="1" applyBorder="1"/>
    <xf numFmtId="10" fontId="23" fillId="18" borderId="37" xfId="9" applyNumberFormat="1" applyFont="1" applyFill="1" applyBorder="1"/>
    <xf numFmtId="10" fontId="23" fillId="18" borderId="16" xfId="9" applyNumberFormat="1" applyFont="1" applyFill="1" applyBorder="1"/>
    <xf numFmtId="10" fontId="24" fillId="18" borderId="16" xfId="9" applyNumberFormat="1" applyFont="1" applyFill="1" applyBorder="1"/>
    <xf numFmtId="10" fontId="24" fillId="18" borderId="17" xfId="9" applyNumberFormat="1" applyFont="1" applyFill="1" applyBorder="1"/>
    <xf numFmtId="0" fontId="8" fillId="14" borderId="29" xfId="7" applyFont="1" applyFill="1" applyBorder="1"/>
    <xf numFmtId="10" fontId="24" fillId="18" borderId="34" xfId="9" applyNumberFormat="1" applyFont="1" applyFill="1" applyBorder="1"/>
    <xf numFmtId="10" fontId="24" fillId="18" borderId="37" xfId="9" applyNumberFormat="1" applyFont="1" applyFill="1" applyBorder="1"/>
    <xf numFmtId="10" fontId="26" fillId="0" borderId="3" xfId="2" applyNumberFormat="1" applyFont="1" applyBorder="1" applyAlignment="1">
      <alignment horizontal="center" vertical="center"/>
    </xf>
    <xf numFmtId="10" fontId="26" fillId="0" borderId="2" xfId="2" applyNumberFormat="1" applyFont="1" applyBorder="1" applyAlignment="1">
      <alignment horizontal="center" vertical="center"/>
    </xf>
    <xf numFmtId="0" fontId="2" fillId="14" borderId="0" xfId="0" applyFont="1" applyFill="1" applyBorder="1"/>
    <xf numFmtId="0" fontId="25" fillId="14" borderId="0" xfId="0" applyFont="1" applyFill="1" applyBorder="1"/>
    <xf numFmtId="0" fontId="2" fillId="14" borderId="0" xfId="0" applyFont="1" applyFill="1" applyBorder="1" applyAlignment="1">
      <alignment horizontal="right" vertical="center"/>
    </xf>
    <xf numFmtId="168" fontId="2" fillId="0" borderId="0" xfId="0" applyNumberFormat="1" applyFont="1" applyFill="1" applyBorder="1"/>
    <xf numFmtId="168" fontId="2" fillId="0" borderId="0" xfId="1" applyNumberFormat="1" applyFont="1" applyFill="1" applyBorder="1"/>
    <xf numFmtId="168" fontId="7" fillId="0" borderId="0" xfId="0" applyNumberFormat="1" applyFont="1" applyFill="1" applyBorder="1"/>
    <xf numFmtId="168" fontId="7" fillId="0" borderId="7" xfId="0" applyNumberFormat="1" applyFont="1" applyFill="1" applyBorder="1"/>
    <xf numFmtId="168" fontId="7" fillId="0" borderId="8" xfId="0" applyNumberFormat="1" applyFont="1" applyFill="1" applyBorder="1"/>
    <xf numFmtId="168" fontId="7" fillId="0" borderId="9" xfId="0" applyNumberFormat="1" applyFont="1" applyFill="1" applyBorder="1"/>
    <xf numFmtId="168" fontId="7" fillId="0" borderId="10" xfId="0" applyNumberFormat="1" applyFont="1" applyFill="1" applyBorder="1"/>
    <xf numFmtId="168" fontId="7" fillId="0" borderId="11" xfId="0" applyNumberFormat="1" applyFont="1" applyFill="1" applyBorder="1"/>
    <xf numFmtId="168" fontId="7" fillId="0" borderId="26" xfId="0" applyNumberFormat="1" applyFont="1" applyFill="1" applyBorder="1"/>
    <xf numFmtId="168" fontId="7" fillId="0" borderId="27" xfId="0" applyNumberFormat="1" applyFont="1" applyFill="1" applyBorder="1"/>
    <xf numFmtId="0" fontId="2" fillId="0" borderId="0" xfId="0" applyFont="1" applyFill="1" applyBorder="1" applyAlignment="1">
      <alignment horizontal="left"/>
    </xf>
    <xf numFmtId="0" fontId="2" fillId="0" borderId="0" xfId="0" pivotButton="1" applyFont="1" applyFill="1" applyBorder="1" applyAlignment="1"/>
    <xf numFmtId="0" fontId="2" fillId="0" borderId="0" xfId="0" applyFont="1" applyFill="1" applyBorder="1" applyAlignment="1"/>
    <xf numFmtId="10" fontId="2" fillId="14" borderId="0" xfId="0" applyNumberFormat="1" applyFont="1" applyFill="1" applyBorder="1"/>
    <xf numFmtId="10" fontId="19" fillId="14" borderId="28" xfId="2" applyNumberFormat="1" applyFont="1" applyFill="1" applyBorder="1"/>
    <xf numFmtId="165" fontId="2" fillId="14" borderId="0" xfId="1" applyFont="1" applyFill="1" applyBorder="1"/>
    <xf numFmtId="10" fontId="2" fillId="14" borderId="0" xfId="2" applyNumberFormat="1" applyFont="1" applyFill="1" applyBorder="1"/>
    <xf numFmtId="0" fontId="34" fillId="0" borderId="0" xfId="0" applyFont="1" applyFill="1" applyBorder="1"/>
    <xf numFmtId="0" fontId="35" fillId="19" borderId="0" xfId="0" applyFont="1" applyFill="1" applyBorder="1"/>
    <xf numFmtId="0" fontId="35" fillId="0" borderId="6" xfId="0" applyFont="1" applyFill="1" applyBorder="1" applyAlignment="1">
      <alignment horizontal="center"/>
    </xf>
    <xf numFmtId="0" fontId="34" fillId="0" borderId="6" xfId="0" applyFont="1" applyFill="1" applyBorder="1"/>
    <xf numFmtId="170" fontId="34" fillId="0" borderId="6" xfId="2" applyNumberFormat="1" applyFont="1" applyFill="1" applyBorder="1"/>
    <xf numFmtId="0" fontId="35" fillId="0" borderId="0" xfId="0" applyFont="1" applyFill="1" applyBorder="1"/>
    <xf numFmtId="0" fontId="35" fillId="0" borderId="6" xfId="0" applyFont="1" applyFill="1" applyBorder="1"/>
    <xf numFmtId="170" fontId="35" fillId="0" borderId="6" xfId="2" applyNumberFormat="1" applyFont="1" applyFill="1" applyBorder="1"/>
    <xf numFmtId="43" fontId="34" fillId="0" borderId="6" xfId="1" applyNumberFormat="1" applyFont="1" applyFill="1" applyBorder="1"/>
    <xf numFmtId="169" fontId="34" fillId="0" borderId="6" xfId="0" applyNumberFormat="1" applyFont="1" applyFill="1" applyBorder="1"/>
    <xf numFmtId="43" fontId="35" fillId="0" borderId="6" xfId="1" applyNumberFormat="1" applyFont="1" applyFill="1" applyBorder="1"/>
    <xf numFmtId="169" fontId="35" fillId="0" borderId="6" xfId="0" applyNumberFormat="1" applyFont="1" applyFill="1" applyBorder="1"/>
    <xf numFmtId="0" fontId="35" fillId="20" borderId="6" xfId="0" applyFont="1" applyFill="1" applyBorder="1"/>
    <xf numFmtId="43" fontId="35" fillId="20" borderId="6" xfId="1" applyNumberFormat="1" applyFont="1" applyFill="1" applyBorder="1"/>
    <xf numFmtId="10" fontId="25" fillId="14" borderId="0" xfId="2" applyNumberFormat="1" applyFont="1" applyFill="1" applyBorder="1"/>
    <xf numFmtId="172" fontId="26" fillId="0" borderId="3" xfId="10" applyNumberFormat="1" applyFont="1" applyBorder="1" applyAlignment="1">
      <alignment horizontal="center" vertical="center"/>
    </xf>
    <xf numFmtId="172" fontId="26" fillId="0" borderId="2" xfId="10" applyNumberFormat="1" applyFont="1" applyBorder="1" applyAlignment="1">
      <alignment horizontal="center" vertical="center"/>
    </xf>
    <xf numFmtId="0" fontId="37" fillId="17" borderId="2" xfId="0" applyFont="1" applyFill="1" applyBorder="1" applyAlignment="1">
      <alignment horizontal="center" vertical="center"/>
    </xf>
    <xf numFmtId="0" fontId="38" fillId="0" borderId="1" xfId="0" applyNumberFormat="1" applyFont="1" applyFill="1" applyBorder="1" applyAlignment="1">
      <alignment horizontal="center" vertical="center" wrapText="1" readingOrder="1"/>
    </xf>
    <xf numFmtId="0" fontId="38" fillId="0" borderId="0" xfId="0" applyNumberFormat="1" applyFont="1" applyFill="1" applyBorder="1" applyAlignment="1">
      <alignment horizontal="center" vertical="center" wrapText="1" readingOrder="1"/>
    </xf>
    <xf numFmtId="0" fontId="39" fillId="0" borderId="1" xfId="0" applyNumberFormat="1" applyFont="1" applyFill="1" applyBorder="1" applyAlignment="1">
      <alignment horizontal="center" vertical="center" wrapText="1" readingOrder="1"/>
    </xf>
    <xf numFmtId="0" fontId="39" fillId="0" borderId="1" xfId="0" applyNumberFormat="1" applyFont="1" applyFill="1" applyBorder="1" applyAlignment="1">
      <alignment horizontal="left" vertical="center" wrapText="1" readingOrder="1"/>
    </xf>
    <xf numFmtId="0" fontId="39" fillId="0" borderId="1" xfId="0" applyNumberFormat="1" applyFont="1" applyFill="1" applyBorder="1" applyAlignment="1">
      <alignment vertical="center" wrapText="1" readingOrder="1"/>
    </xf>
    <xf numFmtId="166" fontId="39" fillId="0" borderId="1" xfId="0" applyNumberFormat="1" applyFont="1" applyFill="1" applyBorder="1" applyAlignment="1">
      <alignment horizontal="right" vertical="center" wrapText="1" readingOrder="1"/>
    </xf>
    <xf numFmtId="0" fontId="38" fillId="0" borderId="1" xfId="0" applyNumberFormat="1" applyFont="1" applyFill="1" applyBorder="1" applyAlignment="1">
      <alignment horizontal="left" vertical="center" wrapText="1" readingOrder="1"/>
    </xf>
    <xf numFmtId="0" fontId="40" fillId="0" borderId="1" xfId="0" applyNumberFormat="1" applyFont="1" applyFill="1" applyBorder="1" applyAlignment="1">
      <alignment horizontal="right" vertical="center" wrapText="1" readingOrder="1"/>
    </xf>
    <xf numFmtId="9" fontId="2" fillId="14" borderId="0" xfId="2" applyFont="1" applyFill="1" applyBorder="1"/>
    <xf numFmtId="0" fontId="12" fillId="17" borderId="6" xfId="3" applyFont="1" applyFill="1" applyBorder="1" applyAlignment="1" applyProtection="1">
      <alignment horizontal="center" vertical="center"/>
    </xf>
    <xf numFmtId="169" fontId="12" fillId="17" borderId="6" xfId="4" applyNumberFormat="1" applyFont="1" applyFill="1" applyBorder="1" applyAlignment="1" applyProtection="1">
      <alignment horizontal="center" vertical="center"/>
    </xf>
    <xf numFmtId="170" fontId="12" fillId="17" borderId="6" xfId="5" applyNumberFormat="1" applyFont="1" applyFill="1" applyBorder="1" applyAlignment="1" applyProtection="1">
      <alignment horizontal="center" vertical="center" wrapText="1"/>
    </xf>
    <xf numFmtId="10" fontId="12" fillId="17" borderId="6" xfId="5" applyNumberFormat="1" applyFont="1" applyFill="1" applyBorder="1" applyAlignment="1" applyProtection="1">
      <alignment horizontal="center" vertical="center"/>
    </xf>
    <xf numFmtId="169" fontId="12" fillId="17" borderId="6" xfId="4" applyNumberFormat="1" applyFont="1" applyFill="1" applyBorder="1" applyAlignment="1" applyProtection="1">
      <alignment horizontal="center" vertical="center" wrapText="1"/>
    </xf>
    <xf numFmtId="9" fontId="12" fillId="17" borderId="6" xfId="5" applyFont="1" applyFill="1" applyBorder="1" applyAlignment="1" applyProtection="1">
      <alignment horizontal="center" vertical="center" wrapText="1"/>
    </xf>
    <xf numFmtId="0" fontId="13" fillId="15" borderId="6" xfId="3" applyNumberFormat="1" applyFont="1" applyFill="1" applyBorder="1" applyAlignment="1" applyProtection="1">
      <alignment horizontal="left" vertical="center" wrapText="1"/>
    </xf>
    <xf numFmtId="169" fontId="14" fillId="15" borderId="6" xfId="4" applyNumberFormat="1" applyFont="1" applyFill="1" applyBorder="1" applyAlignment="1" applyProtection="1">
      <alignment vertical="center"/>
    </xf>
    <xf numFmtId="10" fontId="14" fillId="15" borderId="6" xfId="5" applyNumberFormat="1" applyFont="1" applyFill="1" applyBorder="1" applyAlignment="1" applyProtection="1">
      <alignment vertical="center"/>
    </xf>
    <xf numFmtId="0" fontId="13" fillId="16" borderId="6" xfId="3" applyNumberFormat="1" applyFont="1" applyFill="1" applyBorder="1" applyAlignment="1" applyProtection="1">
      <alignment horizontal="left" vertical="center" wrapText="1"/>
    </xf>
    <xf numFmtId="169" fontId="14" fillId="16" borderId="6" xfId="4" applyNumberFormat="1" applyFont="1" applyFill="1" applyBorder="1" applyAlignment="1" applyProtection="1">
      <alignment vertical="center"/>
    </xf>
    <xf numFmtId="10" fontId="14" fillId="16" borderId="6" xfId="5" applyNumberFormat="1" applyFont="1" applyFill="1" applyBorder="1" applyAlignment="1" applyProtection="1">
      <alignment vertical="center"/>
    </xf>
    <xf numFmtId="0" fontId="16" fillId="0" borderId="6" xfId="3" applyNumberFormat="1" applyFont="1" applyFill="1" applyBorder="1" applyAlignment="1" applyProtection="1">
      <alignment horizontal="left" vertical="center" wrapText="1"/>
    </xf>
    <xf numFmtId="169" fontId="17" fillId="0" borderId="6" xfId="4" applyNumberFormat="1" applyFont="1" applyFill="1" applyBorder="1" applyAlignment="1" applyProtection="1">
      <alignment vertical="center"/>
    </xf>
    <xf numFmtId="3" fontId="17" fillId="0" borderId="6" xfId="3" applyNumberFormat="1" applyFont="1" applyFill="1" applyBorder="1" applyAlignment="1" applyProtection="1">
      <alignment vertical="center"/>
    </xf>
    <xf numFmtId="10" fontId="17" fillId="0" borderId="6" xfId="5" applyNumberFormat="1" applyFont="1" applyFill="1" applyBorder="1" applyAlignment="1" applyProtection="1">
      <alignment vertical="center"/>
    </xf>
    <xf numFmtId="0" fontId="14" fillId="15" borderId="6" xfId="3" applyFont="1" applyFill="1" applyBorder="1" applyAlignment="1" applyProtection="1">
      <alignment vertical="center"/>
    </xf>
    <xf numFmtId="169" fontId="14" fillId="15" borderId="6" xfId="3" applyNumberFormat="1" applyFont="1" applyFill="1" applyBorder="1" applyAlignment="1" applyProtection="1">
      <alignment vertical="center"/>
    </xf>
    <xf numFmtId="172" fontId="26" fillId="0" borderId="12" xfId="10" applyNumberFormat="1" applyFont="1" applyBorder="1" applyAlignment="1">
      <alignment horizontal="center" vertical="center"/>
    </xf>
    <xf numFmtId="172" fontId="26" fillId="0" borderId="38" xfId="10" applyNumberFormat="1" applyFont="1" applyBorder="1" applyAlignment="1">
      <alignment horizontal="center" vertical="center"/>
    </xf>
    <xf numFmtId="172" fontId="26" fillId="0" borderId="30" xfId="10" applyNumberFormat="1" applyFont="1" applyBorder="1" applyAlignment="1">
      <alignment horizontal="center" vertical="center"/>
    </xf>
    <xf numFmtId="10" fontId="26" fillId="0" borderId="12" xfId="2" applyNumberFormat="1" applyFont="1" applyBorder="1" applyAlignment="1">
      <alignment horizontal="center" vertical="center"/>
    </xf>
    <xf numFmtId="10" fontId="26" fillId="0" borderId="38" xfId="2" applyNumberFormat="1" applyFont="1" applyBorder="1" applyAlignment="1">
      <alignment horizontal="center" vertical="center"/>
    </xf>
    <xf numFmtId="10" fontId="26" fillId="0" borderId="30" xfId="2" applyNumberFormat="1" applyFont="1" applyBorder="1" applyAlignment="1">
      <alignment horizontal="center" vertical="center"/>
    </xf>
    <xf numFmtId="165" fontId="26" fillId="0" borderId="12" xfId="1" applyFont="1" applyBorder="1" applyAlignment="1">
      <alignment horizontal="right" vertical="center"/>
    </xf>
    <xf numFmtId="165" fontId="26" fillId="0" borderId="38" xfId="1" applyFont="1" applyBorder="1" applyAlignment="1">
      <alignment horizontal="right" vertical="center"/>
    </xf>
    <xf numFmtId="165" fontId="26" fillId="0" borderId="30" xfId="1" applyFont="1" applyBorder="1" applyAlignment="1">
      <alignment horizontal="right" vertical="center"/>
    </xf>
    <xf numFmtId="10" fontId="26" fillId="0" borderId="12" xfId="2" applyNumberFormat="1" applyFont="1" applyBorder="1" applyAlignment="1">
      <alignment horizontal="right" vertical="center"/>
    </xf>
    <xf numFmtId="10" fontId="26" fillId="0" borderId="38" xfId="2" applyNumberFormat="1" applyFont="1" applyBorder="1" applyAlignment="1">
      <alignment horizontal="right" vertical="center"/>
    </xf>
    <xf numFmtId="10" fontId="26" fillId="0" borderId="30" xfId="2" applyNumberFormat="1" applyFont="1" applyBorder="1" applyAlignment="1">
      <alignment horizontal="right" vertical="center"/>
    </xf>
    <xf numFmtId="165" fontId="26" fillId="0" borderId="12" xfId="1" applyFont="1" applyBorder="1" applyAlignment="1">
      <alignment horizontal="center" vertical="center"/>
    </xf>
    <xf numFmtId="165" fontId="26" fillId="0" borderId="38" xfId="1" applyFont="1" applyBorder="1" applyAlignment="1">
      <alignment horizontal="center" vertical="center"/>
    </xf>
    <xf numFmtId="165" fontId="26" fillId="0" borderId="30" xfId="1" applyFont="1" applyBorder="1" applyAlignment="1">
      <alignment horizontal="center" vertical="center"/>
    </xf>
    <xf numFmtId="0" fontId="33" fillId="0" borderId="0" xfId="0" applyFont="1" applyFill="1" applyBorder="1" applyAlignment="1">
      <alignment horizontal="center" vertical="center"/>
    </xf>
    <xf numFmtId="0" fontId="31" fillId="15" borderId="18" xfId="0" applyFont="1" applyFill="1" applyBorder="1" applyAlignment="1">
      <alignment horizontal="center"/>
    </xf>
    <xf numFmtId="0" fontId="31" fillId="15" borderId="31" xfId="0" applyFont="1" applyFill="1" applyBorder="1" applyAlignment="1">
      <alignment horizontal="center"/>
    </xf>
    <xf numFmtId="0" fontId="32" fillId="17" borderId="18" xfId="0" applyFont="1" applyFill="1" applyBorder="1" applyAlignment="1">
      <alignment horizontal="center"/>
    </xf>
    <xf numFmtId="0" fontId="32" fillId="17" borderId="31" xfId="0" applyFont="1" applyFill="1" applyBorder="1" applyAlignment="1">
      <alignment horizontal="center"/>
    </xf>
    <xf numFmtId="0" fontId="28" fillId="6" borderId="12" xfId="0" applyFont="1" applyFill="1" applyBorder="1" applyAlignment="1">
      <alignment horizontal="center" vertical="center"/>
    </xf>
    <xf numFmtId="0" fontId="28" fillId="6" borderId="30" xfId="0" applyFont="1" applyFill="1" applyBorder="1" applyAlignment="1">
      <alignment horizontal="center" vertical="center"/>
    </xf>
    <xf numFmtId="0" fontId="4" fillId="13" borderId="18" xfId="0" applyFont="1" applyFill="1" applyBorder="1" applyAlignment="1">
      <alignment horizontal="center" vertical="center"/>
    </xf>
    <xf numFmtId="0" fontId="4" fillId="13" borderId="19" xfId="0" applyFont="1" applyFill="1" applyBorder="1" applyAlignment="1">
      <alignment horizontal="center" vertical="center"/>
    </xf>
    <xf numFmtId="0" fontId="5" fillId="11" borderId="22" xfId="0" applyFont="1" applyFill="1" applyBorder="1" applyAlignment="1">
      <alignment horizontal="center" vertical="center"/>
    </xf>
    <xf numFmtId="0" fontId="5" fillId="11" borderId="23" xfId="0" applyFont="1" applyFill="1" applyBorder="1" applyAlignment="1">
      <alignment horizontal="center" vertical="center"/>
    </xf>
    <xf numFmtId="0" fontId="5" fillId="11" borderId="24" xfId="0" applyFont="1" applyFill="1" applyBorder="1" applyAlignment="1">
      <alignment horizontal="center" vertical="center"/>
    </xf>
    <xf numFmtId="0" fontId="0" fillId="11" borderId="22" xfId="0" applyFill="1" applyBorder="1" applyAlignment="1">
      <alignment horizontal="center" vertical="center"/>
    </xf>
    <xf numFmtId="0" fontId="0" fillId="11" borderId="23" xfId="0" applyFill="1" applyBorder="1" applyAlignment="1">
      <alignment horizontal="center" vertical="center"/>
    </xf>
    <xf numFmtId="0" fontId="0" fillId="11" borderId="24" xfId="0" applyFill="1" applyBorder="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36" fillId="14" borderId="39" xfId="7" applyFont="1" applyFill="1" applyBorder="1" applyAlignment="1">
      <alignment horizontal="center" vertical="center"/>
    </xf>
    <xf numFmtId="0" fontId="36" fillId="14" borderId="40" xfId="7" applyFont="1" applyFill="1" applyBorder="1" applyAlignment="1">
      <alignment horizontal="center" vertical="center"/>
    </xf>
    <xf numFmtId="0" fontId="36" fillId="14" borderId="41" xfId="7" applyFont="1" applyFill="1" applyBorder="1" applyAlignment="1">
      <alignment horizontal="center" vertical="center"/>
    </xf>
    <xf numFmtId="0" fontId="36" fillId="14" borderId="42" xfId="7" applyFont="1" applyFill="1" applyBorder="1" applyAlignment="1">
      <alignment horizontal="center" vertical="center"/>
    </xf>
    <xf numFmtId="0" fontId="36" fillId="14" borderId="10" xfId="7" applyFont="1" applyFill="1" applyBorder="1" applyAlignment="1">
      <alignment horizontal="center" vertical="center"/>
    </xf>
    <xf numFmtId="0" fontId="36" fillId="14" borderId="43" xfId="7" applyFont="1" applyFill="1" applyBorder="1" applyAlignment="1">
      <alignment horizontal="center" vertical="center"/>
    </xf>
  </cellXfs>
  <cellStyles count="11">
    <cellStyle name="Millares" xfId="1" builtinId="3"/>
    <cellStyle name="Millares 2" xfId="4"/>
    <cellStyle name="Moneda" xfId="10" builtinId="4"/>
    <cellStyle name="Normal" xfId="0" builtinId="0"/>
    <cellStyle name="Normal 2" xfId="3"/>
    <cellStyle name="Normal 3" xfId="7"/>
    <cellStyle name="Normal 3 2" xfId="8"/>
    <cellStyle name="Porcentaje" xfId="2" builtinId="5"/>
    <cellStyle name="Porcentaje 2" xfId="5"/>
    <cellStyle name="Porcentaje 3" xfId="6"/>
    <cellStyle name="Porcentaje 4" xfId="9"/>
  </cellStyles>
  <dxfs count="49">
    <dxf>
      <fill>
        <patternFill patternType="none">
          <bgColor auto="1"/>
        </patternFill>
      </fill>
    </dxf>
    <dxf>
      <fill>
        <patternFill patternType="none">
          <bgColor auto="1"/>
        </patternFill>
      </fill>
    </dxf>
    <dxf>
      <alignment wrapText="0" readingOrder="0"/>
    </dxf>
    <dxf>
      <alignment wrapText="0" indent="0" readingOrder="0"/>
    </dxf>
    <dxf>
      <alignment wrapText="0" indent="0" readingOrder="0"/>
    </dxf>
    <dxf>
      <alignment wrapText="0" indent="0" readingOrder="0"/>
    </dxf>
    <dxf>
      <alignment wrapText="0" indent="0" readingOrder="0"/>
    </dxf>
    <dxf>
      <numFmt numFmtId="168" formatCode="_(* #,##0_);_(* \(#,##0\);_(* &quot;-&quot;??_);_(@_)"/>
    </dxf>
    <dxf>
      <numFmt numFmtId="168" formatCode="_(* #,##0_);_(* \(#,##0\);_(* &quot;-&quot;??_);_(@_)"/>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font>
        <sz val="9"/>
      </font>
    </dxf>
    <dxf>
      <font>
        <sz val="9"/>
      </font>
    </dxf>
    <dxf>
      <font>
        <sz val="9"/>
      </font>
    </dxf>
    <dxf>
      <font>
        <sz val="9"/>
      </font>
    </dxf>
    <dxf>
      <font>
        <sz val="9"/>
      </font>
    </dxf>
    <dxf>
      <font>
        <sz val="9"/>
      </font>
    </dxf>
    <dxf>
      <font>
        <sz val="9"/>
      </font>
    </dxf>
    <dxf>
      <numFmt numFmtId="168" formatCode="_(* #,##0_);_(* \(#,##0\);_(* &quot;-&quot;??_);_(@_)"/>
    </dxf>
    <dxf>
      <numFmt numFmtId="168" formatCode="_(* #,##0_);_(* \(#,##0\);_(* &quot;-&quot;??_);_(@_)"/>
    </dxf>
    <dxf>
      <numFmt numFmtId="168" formatCode="_(* #,##0_);_(* \(#,##0\);_(* &quot;-&quot;??_);_(@_)"/>
    </dxf>
    <dxf>
      <numFmt numFmtId="168" formatCode="_(* #,##0_);_(* \(#,##0\);_(* &quot;-&quot;??_);_(@_)"/>
    </dxf>
    <dxf>
      <numFmt numFmtId="168" formatCode="_(* #,##0_);_(* \(#,##0\);_(* &quot;-&quot;??_);_(@_)"/>
    </dxf>
    <dxf>
      <numFmt numFmtId="168" formatCode="_(* #,##0_);_(* \(#,##0\);_(* &quot;-&quot;??_);_(@_)"/>
    </dxf>
    <dxf>
      <numFmt numFmtId="168" formatCode="_(* #,##0_);_(* \(#,##0\);_(* &quot;-&quot;??_);_(@_)"/>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indent="0" readingOrder="0"/>
    </dxf>
    <dxf>
      <alignment wrapText="1" indent="0" readingOrder="0"/>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00"/>
      <color rgb="FFFDAA0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400051</xdr:colOff>
      <xdr:row>0</xdr:row>
      <xdr:rowOff>0</xdr:rowOff>
    </xdr:from>
    <xdr:to>
      <xdr:col>0</xdr:col>
      <xdr:colOff>2524125</xdr:colOff>
      <xdr:row>5</xdr:row>
      <xdr:rowOff>180586</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51" y="0"/>
          <a:ext cx="2124074" cy="13116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581026</xdr:colOff>
      <xdr:row>0</xdr:row>
      <xdr:rowOff>0</xdr:rowOff>
    </xdr:from>
    <xdr:to>
      <xdr:col>2</xdr:col>
      <xdr:colOff>1081376</xdr:colOff>
      <xdr:row>7</xdr:row>
      <xdr:rowOff>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43026" y="0"/>
          <a:ext cx="2159288" cy="1397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camontano/Documents/2016/PRESUPUESTO/INFORMES/EJECU%20AGREGADA%20PENDIEN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lbarrero/Documents/2019/WEB%20SIC/Metas%20de%20Ejecuci&#243;n%20Presupuestal%20-%20Vigencia%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METAS"/>
      <sheetName val="Hoja1"/>
      <sheetName val="REP_EPG034_EjecucionPresupuesta"/>
      <sheetName val="BASE INFORME"/>
      <sheetName val="CONSOL CUENTA"/>
      <sheetName val="APROPIACIÓN"/>
      <sheetName val="EJECU"/>
      <sheetName val="METAS-SIC"/>
    </sheetNames>
    <sheetDataSet>
      <sheetData sheetId="0"/>
      <sheetData sheetId="1"/>
      <sheetData sheetId="2">
        <row r="32">
          <cell r="P32">
            <v>140494883000</v>
          </cell>
          <cell r="S32">
            <v>140494883000</v>
          </cell>
          <cell r="U32">
            <v>109011553434.08</v>
          </cell>
          <cell r="W32">
            <v>52683715194.550003</v>
          </cell>
          <cell r="X32">
            <v>4921250239.1999998</v>
          </cell>
          <cell r="Z32">
            <v>4272373041.46</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FUNCIONAMIENTO 201"/>
      <sheetName val="Compromisos"/>
      <sheetName val="Obligaciones"/>
      <sheetName val="Fechas de los PAA para corte"/>
    </sheetNames>
    <sheetDataSet>
      <sheetData sheetId="0">
        <row r="5">
          <cell r="F5">
            <v>0.28839999999999999</v>
          </cell>
          <cell r="R5">
            <v>0.25840000000000002</v>
          </cell>
        </row>
      </sheetData>
      <sheetData sheetId="1">
        <row r="21">
          <cell r="M21">
            <v>0.63372730781296971</v>
          </cell>
        </row>
      </sheetData>
      <sheetData sheetId="2">
        <row r="21">
          <cell r="M21">
            <v>0.13952399026494403</v>
          </cell>
        </row>
      </sheetData>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orena Steffania Barrero Quiñonez" refreshedDate="43588.695773842592" createdVersion="5" refreshedVersion="5" minRefreshableVersion="3" recordCount="32">
  <cacheSource type="worksheet">
    <worksheetSource ref="A4:AA36" sheet="EPA - SIIF"/>
  </cacheSource>
  <cacheFields count="27">
    <cacheField name="UEJ" numFmtId="0">
      <sharedItems/>
    </cacheField>
    <cacheField name="NOMBRE UEJ" numFmtId="0">
      <sharedItems/>
    </cacheField>
    <cacheField name="RUBRO" numFmtId="0">
      <sharedItems/>
    </cacheField>
    <cacheField name="TIPO" numFmtId="0">
      <sharedItems count="2">
        <s v="A"/>
        <s v="C"/>
      </sharedItems>
    </cacheField>
    <cacheField name="CTA" numFmtId="0">
      <sharedItems count="6">
        <s v="01"/>
        <s v="02"/>
        <s v="03"/>
        <s v="08"/>
        <s v="3503"/>
        <s v="3599"/>
      </sharedItems>
    </cacheField>
    <cacheField name="SUB_x000a_CTA" numFmtId="0">
      <sharedItems/>
    </cacheField>
    <cacheField name="OBJ" numFmtId="0">
      <sharedItems containsBlank="1"/>
    </cacheField>
    <cacheField name="ORD" numFmtId="0">
      <sharedItems containsBlank="1"/>
    </cacheField>
    <cacheField name="SOR_x000a_ORD" numFmtId="0">
      <sharedItems containsNonDate="0" containsString="0" containsBlank="1"/>
    </cacheField>
    <cacheField name="ITEM" numFmtId="0">
      <sharedItems containsNonDate="0" containsString="0" containsBlank="1"/>
    </cacheField>
    <cacheField name="SUB_x000a_ITEM" numFmtId="0">
      <sharedItems containsNonDate="0" containsString="0" containsBlank="1"/>
    </cacheField>
    <cacheField name="SUB_x000a_ITEM 2" numFmtId="0">
      <sharedItems containsNonDate="0" containsString="0" containsBlank="1"/>
    </cacheField>
    <cacheField name="FUENTE" numFmtId="0">
      <sharedItems/>
    </cacheField>
    <cacheField name="REC" numFmtId="0">
      <sharedItems count="3">
        <s v="20"/>
        <s v="11"/>
        <s v="21"/>
      </sharedItems>
    </cacheField>
    <cacheField name="SIT" numFmtId="0">
      <sharedItems/>
    </cacheField>
    <cacheField name="DESCRIPCION" numFmtId="0">
      <sharedItems count="30">
        <s v="SALARIO"/>
        <s v="CONTRIBUCIONES INHERENTES A LA NÓMINA"/>
        <s v="REMUNERACIONES NO CONSTITUTIVAS DE FACTOR SALARIAL"/>
        <s v="OTROS GASTOS DE PERSONAL - PREVIO CONCEPTO DGPPN"/>
        <s v="ADQUISICIÓN DE ACTIVOS NO FINANCIEROS"/>
        <s v="ADQUISICIONES DIFERENTES DE ACTIVOS"/>
        <s v="CONVENCION DEL METRO - OFICINA INTERNACIONAL DE PESAS Y MEDIDAS - BIPM. LEY 1512 DE 2012"/>
        <s v="ORGANIZACION PARA LA COOPERACION Y EL DESARROLLO ECONOMICO OCDE-ARTICULO 47 LEY 1450 DE 2011"/>
        <s v="PROVISIÓN PARA GASTOS INSTITUCIONALES Y/O SECTORIALES CONTINGENTES- PREVIO CONCEPTO DGPPN"/>
        <s v="MESADAS PENSIONALES (DE PENSIONES)"/>
        <s v="INCAPACIDADES Y LICENCIAS DE MATERNIDAD Y PATERNIDAD (NO DE PENSIONES)"/>
        <s v="APORTE PREVISION SOCIAL SERVICIOS MEDICOS (NO DE PENSIONES)"/>
        <s v="SENTENCIAS"/>
        <s v="CONCILIACIONES"/>
        <s v="IMPUESTOS"/>
        <s v="CUOTA DE FISCALIZACIÓN Y AUDITAJE"/>
        <s v="INCREMENTO DE LA COBERTURA DE LOS SERVICIOS DE LA RED NACIONAL DE PROTECCIÓN AL CONSUMIDOR EN EL TERRITORIO  NACIONAL"/>
        <s v="MEJORAMIENTO DEL CONTROL Y VIGILANCIA A LAS CÁMARAS DE COMERCIO Y COMERCIANTES A NIVEL  NACIONAL"/>
        <s v="FORTALECIMIENTO DE LA FUNCIÓN JURISDICCIONAL DE LA SUPERINTENDENCIA DE INDUSTRIA Y COMERCIO A NIVEL  NACIONAL"/>
        <s v="FORTALECIMIENTO DE LA PROTECCIÓN DE DATOS PERSONALES A NIVEL  NACIONAL"/>
        <s v="FORTALECIMIENTO DEL RÉGIMEN DE PROTECCIÓN DE LA LIBRE COMPETENCIA ECONÓMICA EN LOS MERCADOS A NIVEL  NACIONAL"/>
        <s v="FORTALECIMIENTO DE LA ATENCIÓN Y PROMOCIÓN DE TRÁMITES Y SERVICIOS EN EL MARCO DEL SISTEMA DE PROPIEDAD INDUSTRIAL A NIVEL  NACIONAL"/>
        <s v="MEJORAMIENTO EN LA EJECUCIÓN DE LAS FUNCIONES ASIGNADAS EN MATERIA DE PROTECCIÓN AL CONSUMIDOR A NIVEL  NACIONAL"/>
        <s v="FORTALECIMIENTO DE LA FUNCIÓN DE INSPECCIÓN, CONTROL Y VIGILANCIA DE LA SUPERINTENDENCIA DE INDUSTRIA Y COMERCIO EN EL MARCO DEL SUBSISTEMA NACIONAL DE CALIDAD, EL RÉGIMEN DE CONTROL DE PRECIOS Y EL SECTOR VALUATORIO A NIVEL  NACIONAL"/>
        <s v="IMPLEMENTACIÓN DE UNA SOLUCIÓN INMOBILIARIA PARA LA SUPERINTENDENCIA DE INDUSTRIA Y COMERCIO EN  BOGOTÁ"/>
        <s v="FORTALECIMIENTO DEL SISTEMA DE ATENCIÓN AL CIUDADANO DE LA SUPERINTENDENCIA DE INDUSTRIA Y COMERCIO A NIVEL  NACIONAL"/>
        <s v="MEJORAMIENTO DE LOS SISTEMAS DE INFORMACIÓN Y SERVICIOS TECNOLÓGICOS DE LA SUPERINTENDENCIA DE INDUSTRIA Y COMERCIO EN EL TERRITORIO  NACIONAL"/>
        <s v="MEJORAMIENTO DE LA INFRAESTRUCTURA FÍSICA DE LA SEDE DE LA SUPERINTENDENCIA DE INDUSTRIA Y COMERCIO EN  BOGOTÁ"/>
        <s v="MEJORAMIENTO EN LA CALIDAD DE LA GESTIÓN ESTRATÉGICA DE LA SUPERINTENDENCIA DE INDUSTRIA Y COMERCIO A NIVEL  NACIONAL"/>
        <s v="INCAPACIDADES Y LICENCIAS DE MATERNIDAD (NO DE PENSIONES)" u="1"/>
      </sharedItems>
    </cacheField>
    <cacheField name="APR. INICIAL" numFmtId="166">
      <sharedItems containsSemiMixedTypes="0" containsString="0" containsNumber="1" containsInteger="1" minValue="10000000" maxValue="40628002000"/>
    </cacheField>
    <cacheField name="APR. ADICIONADA" numFmtId="166">
      <sharedItems containsSemiMixedTypes="0" containsString="0" containsNumber="1" containsInteger="1" minValue="0" maxValue="3800621579"/>
    </cacheField>
    <cacheField name="APR. REDUCIDA" numFmtId="166">
      <sharedItems containsSemiMixedTypes="0" containsString="0" containsNumber="1" containsInteger="1" minValue="0" maxValue="0"/>
    </cacheField>
    <cacheField name="APR. VIGENTE" numFmtId="166">
      <sharedItems containsSemiMixedTypes="0" containsString="0" containsNumber="1" containsInteger="1" minValue="10000000" maxValue="40628002000"/>
    </cacheField>
    <cacheField name="APR BLOQUEADA" numFmtId="166">
      <sharedItems containsSemiMixedTypes="0" containsString="0" containsNumber="1" containsInteger="1" minValue="0" maxValue="1870031000"/>
    </cacheField>
    <cacheField name="CDP" numFmtId="166">
      <sharedItems containsSemiMixedTypes="0" containsString="0" containsNumber="1" minValue="0" maxValue="40628002000"/>
    </cacheField>
    <cacheField name="APR. DISPONIBLE" numFmtId="166">
      <sharedItems containsSemiMixedTypes="0" containsString="0" containsNumber="1" minValue="0" maxValue="29942724538"/>
    </cacheField>
    <cacheField name="COMPROMISO" numFmtId="166">
      <sharedItems containsSemiMixedTypes="0" containsString="0" containsNumber="1" minValue="0" maxValue="21064185862"/>
    </cacheField>
    <cacheField name="OBLIGACION" numFmtId="166">
      <sharedItems containsSemiMixedTypes="0" containsString="0" containsNumber="1" minValue="0" maxValue="10682958058"/>
    </cacheField>
    <cacheField name="ORDEN PAGO" numFmtId="166">
      <sharedItems containsSemiMixedTypes="0" containsString="0" containsNumber="1" minValue="0" maxValue="10682958058"/>
    </cacheField>
    <cacheField name="PAGOS" numFmtId="166">
      <sharedItems containsSemiMixedTypes="0" containsString="0" containsNumber="1" minValue="0" maxValue="1068295805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2">
  <r>
    <s v="35-03-00"/>
    <s v="SUPERINTENDENCIA DE INDUSTRIA Y COMERCIO"/>
    <s v="A-01-01-01"/>
    <x v="0"/>
    <x v="0"/>
    <s v="01"/>
    <s v="01"/>
    <m/>
    <m/>
    <m/>
    <m/>
    <m/>
    <s v="Propios"/>
    <x v="0"/>
    <s v="CSF"/>
    <x v="0"/>
    <n v="40628002000"/>
    <n v="0"/>
    <n v="0"/>
    <n v="40628002000"/>
    <n v="0"/>
    <n v="40628002000"/>
    <n v="0"/>
    <n v="10951516824"/>
    <n v="10682958058"/>
    <n v="10682958058"/>
    <n v="10682958058"/>
  </r>
  <r>
    <s v="35-03-00"/>
    <s v="SUPERINTENDENCIA DE INDUSTRIA Y COMERCIO"/>
    <s v="A-01-01-02"/>
    <x v="0"/>
    <x v="0"/>
    <s v="01"/>
    <s v="02"/>
    <m/>
    <m/>
    <m/>
    <m/>
    <m/>
    <s v="Propios"/>
    <x v="0"/>
    <s v="CSF"/>
    <x v="1"/>
    <n v="13022354000"/>
    <n v="0"/>
    <n v="0"/>
    <n v="13022354000"/>
    <n v="0"/>
    <n v="13022354000"/>
    <n v="0"/>
    <n v="2917228743"/>
    <n v="2917228743"/>
    <n v="2849133543"/>
    <n v="2849133543"/>
  </r>
  <r>
    <s v="35-03-00"/>
    <s v="SUPERINTENDENCIA DE INDUSTRIA Y COMERCIO"/>
    <s v="A-01-01-03"/>
    <x v="0"/>
    <x v="0"/>
    <s v="01"/>
    <s v="03"/>
    <m/>
    <m/>
    <m/>
    <m/>
    <m/>
    <s v="Propios"/>
    <x v="0"/>
    <s v="CSF"/>
    <x v="2"/>
    <n v="3243609000"/>
    <n v="0"/>
    <n v="0"/>
    <n v="3243609000"/>
    <n v="0"/>
    <n v="3243609000"/>
    <n v="0"/>
    <n v="554781032"/>
    <n v="549829824"/>
    <n v="549829824"/>
    <n v="549829824"/>
  </r>
  <r>
    <s v="35-03-00"/>
    <s v="SUPERINTENDENCIA DE INDUSTRIA Y COMERCIO"/>
    <s v="A-01-01-04"/>
    <x v="0"/>
    <x v="0"/>
    <s v="01"/>
    <s v="04"/>
    <m/>
    <m/>
    <m/>
    <m/>
    <m/>
    <s v="Propios"/>
    <x v="0"/>
    <s v="CSF"/>
    <x v="3"/>
    <n v="1870031000"/>
    <n v="0"/>
    <n v="0"/>
    <n v="1870031000"/>
    <n v="1870031000"/>
    <n v="0"/>
    <n v="0"/>
    <n v="0"/>
    <n v="0"/>
    <n v="0"/>
    <n v="0"/>
  </r>
  <r>
    <s v="35-03-00"/>
    <s v="SUPERINTENDENCIA DE INDUSTRIA Y COMERCIO"/>
    <s v="A-02-01"/>
    <x v="0"/>
    <x v="1"/>
    <s v="01"/>
    <m/>
    <m/>
    <m/>
    <m/>
    <m/>
    <m/>
    <s v="Propios"/>
    <x v="0"/>
    <s v="CSF"/>
    <x v="4"/>
    <n v="10000000"/>
    <n v="0"/>
    <n v="0"/>
    <n v="10000000"/>
    <n v="0"/>
    <n v="7033899"/>
    <n v="2966101"/>
    <n v="6723879"/>
    <n v="4000000"/>
    <n v="4000000"/>
    <n v="4000000"/>
  </r>
  <r>
    <s v="35-03-00"/>
    <s v="SUPERINTENDENCIA DE INDUSTRIA Y COMERCIO"/>
    <s v="A-02-02"/>
    <x v="0"/>
    <x v="1"/>
    <s v="02"/>
    <m/>
    <m/>
    <m/>
    <m/>
    <m/>
    <m/>
    <s v="Propios"/>
    <x v="0"/>
    <s v="CSF"/>
    <x v="5"/>
    <n v="12666328868"/>
    <n v="0"/>
    <n v="0"/>
    <n v="12666328868"/>
    <n v="0"/>
    <n v="11000793085"/>
    <n v="1665535783"/>
    <n v="10193577886.629999"/>
    <n v="3156174721.9099998"/>
    <n v="3155489697.9099998"/>
    <n v="3149692320.9099998"/>
  </r>
  <r>
    <s v="35-03-00"/>
    <s v="SUPERINTENDENCIA DE INDUSTRIA Y COMERCIO"/>
    <s v="A-03-02-02-097"/>
    <x v="0"/>
    <x v="2"/>
    <s v="02"/>
    <s v="02"/>
    <s v="097"/>
    <m/>
    <m/>
    <m/>
    <m/>
    <s v="Propios"/>
    <x v="0"/>
    <s v="CSF"/>
    <x v="6"/>
    <n v="81269000"/>
    <n v="0"/>
    <n v="0"/>
    <n v="81269000"/>
    <n v="0"/>
    <n v="0"/>
    <n v="81269000"/>
    <n v="0"/>
    <n v="0"/>
    <n v="0"/>
    <n v="0"/>
  </r>
  <r>
    <s v="35-03-00"/>
    <s v="SUPERINTENDENCIA DE INDUSTRIA Y COMERCIO"/>
    <s v="A-03-02-02-105"/>
    <x v="0"/>
    <x v="2"/>
    <s v="02"/>
    <s v="02"/>
    <s v="105"/>
    <m/>
    <m/>
    <m/>
    <m/>
    <s v="Propios"/>
    <x v="0"/>
    <s v="CSF"/>
    <x v="7"/>
    <n v="206493000"/>
    <n v="0"/>
    <n v="0"/>
    <n v="206493000"/>
    <n v="0"/>
    <n v="0"/>
    <n v="206493000"/>
    <n v="0"/>
    <n v="0"/>
    <n v="0"/>
    <n v="0"/>
  </r>
  <r>
    <s v="35-03-00"/>
    <s v="SUPERINTENDENCIA DE INDUSTRIA Y COMERCIO"/>
    <s v="A-03-03-04-007"/>
    <x v="0"/>
    <x v="2"/>
    <s v="03"/>
    <s v="04"/>
    <s v="007"/>
    <m/>
    <m/>
    <m/>
    <m/>
    <s v="Propios"/>
    <x v="0"/>
    <s v="CSF"/>
    <x v="8"/>
    <n v="1446200000"/>
    <n v="0"/>
    <n v="0"/>
    <n v="1446200000"/>
    <n v="1446200000"/>
    <n v="0"/>
    <n v="0"/>
    <n v="0"/>
    <n v="0"/>
    <n v="0"/>
    <n v="0"/>
  </r>
  <r>
    <s v="35-03-00"/>
    <s v="SUPERINTENDENCIA DE INDUSTRIA Y COMERCIO"/>
    <s v="A-03-04-02-001"/>
    <x v="0"/>
    <x v="2"/>
    <s v="04"/>
    <s v="02"/>
    <s v="001"/>
    <m/>
    <m/>
    <m/>
    <m/>
    <s v="Propios"/>
    <x v="0"/>
    <s v="CSF"/>
    <x v="9"/>
    <n v="418365000"/>
    <n v="0"/>
    <n v="0"/>
    <n v="418365000"/>
    <n v="0"/>
    <n v="418365000"/>
    <n v="0"/>
    <n v="96002907.920000002"/>
    <n v="95689074.079999998"/>
    <n v="95689074.079999998"/>
    <n v="95689074.079999998"/>
  </r>
  <r>
    <s v="35-03-00"/>
    <s v="SUPERINTENDENCIA DE INDUSTRIA Y COMERCIO"/>
    <s v="A-03-04-02-012"/>
    <x v="0"/>
    <x v="2"/>
    <s v="04"/>
    <s v="02"/>
    <s v="012"/>
    <m/>
    <m/>
    <m/>
    <m/>
    <s v="Propios"/>
    <x v="0"/>
    <s v="CSF"/>
    <x v="10"/>
    <n v="128770000"/>
    <n v="0"/>
    <n v="0"/>
    <n v="128770000"/>
    <n v="0"/>
    <n v="128770000"/>
    <n v="0"/>
    <n v="2272367"/>
    <n v="2272367"/>
    <n v="2272367"/>
    <n v="2272367"/>
  </r>
  <r>
    <s v="35-03-00"/>
    <s v="SUPERINTENDENCIA DE INDUSTRIA Y COMERCIO"/>
    <s v="A-03-04-02-015"/>
    <x v="0"/>
    <x v="2"/>
    <s v="04"/>
    <s v="02"/>
    <s v="015"/>
    <m/>
    <m/>
    <m/>
    <m/>
    <s v="Propios"/>
    <x v="0"/>
    <s v="CSF"/>
    <x v="11"/>
    <n v="626000000"/>
    <n v="0"/>
    <n v="0"/>
    <n v="626000000"/>
    <n v="0"/>
    <n v="626000000"/>
    <n v="0"/>
    <n v="227950485"/>
    <n v="227950485"/>
    <n v="227950485"/>
    <n v="227950485"/>
  </r>
  <r>
    <s v="35-03-00"/>
    <s v="SUPERINTENDENCIA DE INDUSTRIA Y COMERCIO"/>
    <s v="A-03-10-01-001"/>
    <x v="0"/>
    <x v="2"/>
    <s v="10"/>
    <s v="01"/>
    <s v="001"/>
    <m/>
    <m/>
    <m/>
    <m/>
    <s v="Propios"/>
    <x v="0"/>
    <s v="CSF"/>
    <x v="12"/>
    <n v="2060000000"/>
    <n v="0"/>
    <n v="0"/>
    <n v="2060000000"/>
    <n v="0"/>
    <n v="304183536"/>
    <n v="1755816464"/>
    <n v="233721909"/>
    <n v="233721909"/>
    <n v="230064169"/>
    <n v="230064169"/>
  </r>
  <r>
    <s v="35-03-00"/>
    <s v="SUPERINTENDENCIA DE INDUSTRIA Y COMERCIO"/>
    <s v="A-03-10-01-002"/>
    <x v="0"/>
    <x v="2"/>
    <s v="10"/>
    <s v="01"/>
    <s v="002"/>
    <m/>
    <m/>
    <m/>
    <m/>
    <s v="Propios"/>
    <x v="0"/>
    <s v="CSF"/>
    <x v="13"/>
    <n v="2060000000"/>
    <n v="0"/>
    <n v="0"/>
    <n v="2060000000"/>
    <n v="0"/>
    <n v="399085065"/>
    <n v="1660914935"/>
    <n v="317249945"/>
    <n v="313155094"/>
    <n v="311775671"/>
    <n v="311775671"/>
  </r>
  <r>
    <s v="35-03-00"/>
    <s v="SUPERINTENDENCIA DE INDUSTRIA Y COMERCIO"/>
    <s v="A-08-01"/>
    <x v="0"/>
    <x v="3"/>
    <s v="01"/>
    <m/>
    <m/>
    <m/>
    <m/>
    <m/>
    <m/>
    <s v="Propios"/>
    <x v="0"/>
    <s v="CSF"/>
    <x v="14"/>
    <n v="51500000"/>
    <n v="0"/>
    <n v="0"/>
    <n v="51500000"/>
    <n v="0"/>
    <n v="2342000"/>
    <n v="49158000"/>
    <n v="2319000"/>
    <n v="2319000"/>
    <n v="2319000"/>
    <n v="0"/>
  </r>
  <r>
    <s v="35-03-00"/>
    <s v="SUPERINTENDENCIA DE INDUSTRIA Y COMERCIO"/>
    <s v="A-08-04-01"/>
    <x v="0"/>
    <x v="3"/>
    <s v="04"/>
    <s v="01"/>
    <m/>
    <m/>
    <m/>
    <m/>
    <m/>
    <s v="Propios"/>
    <x v="0"/>
    <s v="CSF"/>
    <x v="15"/>
    <n v="236758000"/>
    <n v="0"/>
    <n v="0"/>
    <n v="236758000"/>
    <n v="0"/>
    <n v="581561.67000000004"/>
    <n v="236176438.33000001"/>
    <n v="576292"/>
    <n v="576292"/>
    <n v="0"/>
    <n v="0"/>
  </r>
  <r>
    <s v="35-03-00"/>
    <s v="SUPERINTENDENCIA DE INDUSTRIA Y COMERCIO"/>
    <s v="C-3503-0200-9"/>
    <x v="1"/>
    <x v="4"/>
    <s v="0200"/>
    <s v="9"/>
    <m/>
    <m/>
    <m/>
    <m/>
    <m/>
    <s v="Propios"/>
    <x v="0"/>
    <s v="CSF"/>
    <x v="16"/>
    <n v="39427254112"/>
    <n v="0"/>
    <n v="0"/>
    <n v="39427254112"/>
    <n v="0"/>
    <n v="31416597801"/>
    <n v="8010656311"/>
    <n v="21064185862"/>
    <n v="3042809110.3299999"/>
    <n v="3032052870.3299999"/>
    <n v="3032052870.3299999"/>
  </r>
  <r>
    <s v="35-03-00"/>
    <s v="SUPERINTENDENCIA DE INDUSTRIA Y COMERCIO"/>
    <s v="C-3503-0200-10"/>
    <x v="1"/>
    <x v="4"/>
    <s v="0200"/>
    <s v="10"/>
    <m/>
    <m/>
    <m/>
    <m/>
    <m/>
    <s v="Propios"/>
    <x v="0"/>
    <s v="CSF"/>
    <x v="17"/>
    <n v="909785125"/>
    <n v="0"/>
    <n v="0"/>
    <n v="909785125"/>
    <n v="0"/>
    <n v="901971120"/>
    <n v="7814005"/>
    <n v="754160996"/>
    <n v="168270674"/>
    <n v="168270674"/>
    <n v="168270674"/>
  </r>
  <r>
    <s v="35-03-00"/>
    <s v="SUPERINTENDENCIA DE INDUSTRIA Y COMERCIO"/>
    <s v="C-3503-0200-11"/>
    <x v="1"/>
    <x v="4"/>
    <s v="0200"/>
    <s v="11"/>
    <m/>
    <m/>
    <m/>
    <m/>
    <m/>
    <s v="Propios"/>
    <x v="0"/>
    <s v="CSF"/>
    <x v="18"/>
    <n v="3601793401"/>
    <n v="0"/>
    <n v="0"/>
    <n v="3601793401"/>
    <n v="0"/>
    <n v="3538856637"/>
    <n v="62936764"/>
    <n v="2178726688"/>
    <n v="685881531"/>
    <n v="685881531"/>
    <n v="685881531"/>
  </r>
  <r>
    <s v="35-03-00"/>
    <s v="SUPERINTENDENCIA DE INDUSTRIA Y COMERCIO"/>
    <s v="C-3503-0200-12"/>
    <x v="1"/>
    <x v="4"/>
    <s v="0200"/>
    <s v="12"/>
    <m/>
    <m/>
    <m/>
    <m/>
    <m/>
    <s v="Propios"/>
    <x v="0"/>
    <s v="CSF"/>
    <x v="19"/>
    <n v="2591894878"/>
    <n v="0"/>
    <n v="0"/>
    <n v="2591894878"/>
    <n v="0"/>
    <n v="2521525922"/>
    <n v="70368956"/>
    <n v="2393287961"/>
    <n v="489872044"/>
    <n v="489872044"/>
    <n v="489872044"/>
  </r>
  <r>
    <s v="35-03-00"/>
    <s v="SUPERINTENDENCIA DE INDUSTRIA Y COMERCIO"/>
    <s v="C-3503-0200-13"/>
    <x v="1"/>
    <x v="4"/>
    <s v="0200"/>
    <s v="13"/>
    <m/>
    <m/>
    <m/>
    <m/>
    <m/>
    <s v="Propios"/>
    <x v="0"/>
    <s v="CSF"/>
    <x v="20"/>
    <n v="8032499000"/>
    <n v="0"/>
    <n v="0"/>
    <n v="8032499000"/>
    <n v="0"/>
    <n v="7921695460"/>
    <n v="110803540"/>
    <n v="6692352563"/>
    <n v="1346823614"/>
    <n v="1345926646"/>
    <n v="1345926646"/>
  </r>
  <r>
    <s v="35-03-00"/>
    <s v="SUPERINTENDENCIA DE INDUSTRIA Y COMERCIO"/>
    <s v="C-3503-0200-14"/>
    <x v="1"/>
    <x v="4"/>
    <s v="0200"/>
    <s v="14"/>
    <m/>
    <m/>
    <m/>
    <m/>
    <m/>
    <s v="Propios"/>
    <x v="0"/>
    <s v="CSF"/>
    <x v="21"/>
    <n v="8791562000"/>
    <n v="0"/>
    <n v="0"/>
    <n v="8791562000"/>
    <n v="0"/>
    <n v="7153168947"/>
    <n v="1638393053"/>
    <n v="6713861204"/>
    <n v="925935189"/>
    <n v="925935189"/>
    <n v="925935189"/>
  </r>
  <r>
    <s v="35-03-00"/>
    <s v="SUPERINTENDENCIA DE INDUSTRIA Y COMERCIO"/>
    <s v="C-3503-0200-15"/>
    <x v="1"/>
    <x v="4"/>
    <s v="0200"/>
    <s v="15"/>
    <m/>
    <m/>
    <m/>
    <m/>
    <m/>
    <s v="Propios"/>
    <x v="0"/>
    <s v="CSF"/>
    <x v="22"/>
    <n v="5305076993"/>
    <n v="3800621579"/>
    <n v="0"/>
    <n v="9105698572"/>
    <n v="0"/>
    <n v="7581418064"/>
    <n v="1524280508"/>
    <n v="5867635676"/>
    <n v="649237616"/>
    <n v="649237616"/>
    <n v="649237616"/>
  </r>
  <r>
    <s v="35-03-00"/>
    <s v="SUPERINTENDENCIA DE INDUSTRIA Y COMERCIO"/>
    <s v="C-3503-0200-16"/>
    <x v="1"/>
    <x v="4"/>
    <s v="0200"/>
    <s v="16"/>
    <m/>
    <m/>
    <m/>
    <m/>
    <m/>
    <s v="Nación"/>
    <x v="1"/>
    <s v="CSF"/>
    <x v="23"/>
    <n v="347886828"/>
    <n v="0"/>
    <n v="0"/>
    <n v="347886828"/>
    <n v="0"/>
    <n v="307238013"/>
    <n v="40648815"/>
    <n v="251265022"/>
    <n v="51466000"/>
    <n v="51466000"/>
    <n v="51466000"/>
  </r>
  <r>
    <s v="35-03-00"/>
    <s v="SUPERINTENDENCIA DE INDUSTRIA Y COMERCIO"/>
    <s v="C-3503-0200-16"/>
    <x v="1"/>
    <x v="4"/>
    <s v="0200"/>
    <s v="16"/>
    <m/>
    <m/>
    <m/>
    <m/>
    <m/>
    <s v="Propios"/>
    <x v="0"/>
    <s v="CSF"/>
    <x v="23"/>
    <n v="4421453037"/>
    <n v="0"/>
    <n v="0"/>
    <n v="4421453037"/>
    <n v="0"/>
    <n v="4229291153"/>
    <n v="192161884"/>
    <n v="3792797628"/>
    <n v="840835713"/>
    <n v="840835713"/>
    <n v="840835713"/>
  </r>
  <r>
    <s v="35-03-00"/>
    <s v="SUPERINTENDENCIA DE INDUSTRIA Y COMERCIO"/>
    <s v="C-3599-0200-4"/>
    <x v="1"/>
    <x v="5"/>
    <s v="0200"/>
    <s v="4"/>
    <m/>
    <m/>
    <m/>
    <m/>
    <m/>
    <s v="Propios"/>
    <x v="0"/>
    <s v="CSF"/>
    <x v="24"/>
    <n v="319795653"/>
    <n v="0"/>
    <n v="0"/>
    <n v="319795653"/>
    <n v="0"/>
    <n v="0"/>
    <n v="319795653"/>
    <n v="0"/>
    <n v="0"/>
    <n v="0"/>
    <n v="0"/>
  </r>
  <r>
    <s v="35-03-00"/>
    <s v="SUPERINTENDENCIA DE INDUSTRIA Y COMERCIO"/>
    <s v="C-3599-0200-4"/>
    <x v="1"/>
    <x v="5"/>
    <s v="0200"/>
    <s v="4"/>
    <m/>
    <m/>
    <m/>
    <m/>
    <m/>
    <s v="Propios"/>
    <x v="2"/>
    <s v="CSF"/>
    <x v="24"/>
    <n v="29942724538"/>
    <n v="0"/>
    <n v="0"/>
    <n v="29942724538"/>
    <n v="0"/>
    <n v="0"/>
    <n v="29942724538"/>
    <n v="0"/>
    <n v="0"/>
    <n v="0"/>
    <n v="0"/>
  </r>
  <r>
    <s v="35-03-00"/>
    <s v="SUPERINTENDENCIA DE INDUSTRIA Y COMERCIO"/>
    <s v="C-3599-0200-5"/>
    <x v="1"/>
    <x v="5"/>
    <s v="0200"/>
    <s v="5"/>
    <m/>
    <m/>
    <m/>
    <m/>
    <m/>
    <s v="Propios"/>
    <x v="0"/>
    <s v="CSF"/>
    <x v="25"/>
    <n v="4949859998"/>
    <n v="0"/>
    <n v="0"/>
    <n v="4949859998"/>
    <n v="0"/>
    <n v="4391773949"/>
    <n v="558086049"/>
    <n v="4356734115"/>
    <n v="707445300.57000005"/>
    <n v="707445300.57000005"/>
    <n v="707445300.57000005"/>
  </r>
  <r>
    <s v="35-03-00"/>
    <s v="SUPERINTENDENCIA DE INDUSTRIA Y COMERCIO"/>
    <s v="C-3599-0200-5"/>
    <x v="1"/>
    <x v="5"/>
    <s v="0200"/>
    <s v="5"/>
    <m/>
    <m/>
    <m/>
    <m/>
    <m/>
    <s v="Propios"/>
    <x v="2"/>
    <s v="CSF"/>
    <x v="25"/>
    <n v="23100846801"/>
    <n v="0"/>
    <n v="0"/>
    <n v="23100846801"/>
    <n v="0"/>
    <n v="20193572003.799999"/>
    <n v="2907274797.1999998"/>
    <n v="16810856103.6"/>
    <n v="1211029954"/>
    <n v="1209930368"/>
    <n v="1209930368"/>
  </r>
  <r>
    <s v="35-03-00"/>
    <s v="SUPERINTENDENCIA DE INDUSTRIA Y COMERCIO"/>
    <s v="C-3599-0200-6"/>
    <x v="1"/>
    <x v="5"/>
    <s v="0200"/>
    <s v="6"/>
    <m/>
    <m/>
    <m/>
    <m/>
    <m/>
    <s v="Propios"/>
    <x v="0"/>
    <s v="CSF"/>
    <x v="26"/>
    <n v="25661863246"/>
    <n v="0"/>
    <n v="0"/>
    <n v="25661863246"/>
    <n v="0"/>
    <n v="18767562461.310001"/>
    <n v="6894300784.6899996"/>
    <n v="13844756151.280001"/>
    <n v="808468437"/>
    <n v="808468437"/>
    <n v="808468437"/>
  </r>
  <r>
    <s v="35-03-00"/>
    <s v="SUPERINTENDENCIA DE INDUSTRIA Y COMERCIO"/>
    <s v="C-3599-0200-7"/>
    <x v="1"/>
    <x v="5"/>
    <s v="0200"/>
    <s v="7"/>
    <m/>
    <m/>
    <m/>
    <m/>
    <m/>
    <s v="Propios"/>
    <x v="2"/>
    <s v="CSF"/>
    <x v="27"/>
    <n v="773529015"/>
    <n v="0"/>
    <n v="0"/>
    <n v="773529015"/>
    <n v="0"/>
    <n v="686558986"/>
    <n v="86970029"/>
    <n v="1799900"/>
    <n v="0"/>
    <n v="0"/>
    <n v="0"/>
  </r>
  <r>
    <s v="35-03-00"/>
    <s v="SUPERINTENDENCIA DE INDUSTRIA Y COMERCIO"/>
    <s v="C-3599-0200-8"/>
    <x v="1"/>
    <x v="5"/>
    <s v="0200"/>
    <s v="8"/>
    <m/>
    <m/>
    <m/>
    <m/>
    <m/>
    <s v="Propios"/>
    <x v="2"/>
    <s v="CSF"/>
    <x v="28"/>
    <n v="3358394125"/>
    <n v="0"/>
    <n v="0"/>
    <n v="3358394125"/>
    <n v="0"/>
    <n v="2795531138"/>
    <n v="562862987"/>
    <n v="2445037041"/>
    <n v="382817144"/>
    <n v="381417144"/>
    <n v="38141714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6"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M14" firstHeaderRow="1" firstDataRow="3" firstDataCol="1"/>
  <pivotFields count="27">
    <pivotField showAll="0"/>
    <pivotField showAll="0"/>
    <pivotField showAll="0"/>
    <pivotField axis="axisRow" showAll="0">
      <items count="3">
        <item x="0"/>
        <item x="1"/>
        <item t="default"/>
      </items>
    </pivotField>
    <pivotField axis="axisRow" showAll="0">
      <items count="7">
        <item x="4"/>
        <item x="5"/>
        <item x="0"/>
        <item x="1"/>
        <item x="2"/>
        <item x="3"/>
        <item t="default"/>
      </items>
    </pivotField>
    <pivotField showAll="0"/>
    <pivotField showAll="0"/>
    <pivotField showAll="0"/>
    <pivotField showAll="0"/>
    <pivotField showAll="0"/>
    <pivotField showAll="0"/>
    <pivotField showAll="0" defaultSubtotal="0"/>
    <pivotField showAll="0"/>
    <pivotField axis="axisCol" showAll="0">
      <items count="4">
        <item x="0"/>
        <item x="2"/>
        <item x="1"/>
        <item t="default"/>
      </items>
    </pivotField>
    <pivotField showAll="0"/>
    <pivotField showAll="0"/>
    <pivotField numFmtId="166" showAll="0"/>
    <pivotField numFmtId="166" showAll="0"/>
    <pivotField numFmtId="166" showAll="0"/>
    <pivotField dataField="1" numFmtId="166" showAll="0"/>
    <pivotField numFmtId="166" showAll="0"/>
    <pivotField numFmtId="166" showAll="0"/>
    <pivotField numFmtId="166" showAll="0"/>
    <pivotField dataField="1" numFmtId="166" showAll="0"/>
    <pivotField dataField="1" numFmtId="166" showAll="0"/>
    <pivotField numFmtId="166" showAll="0"/>
    <pivotField showAll="0" defaultSubtotal="0"/>
  </pivotFields>
  <rowFields count="2">
    <field x="3"/>
    <field x="4"/>
  </rowFields>
  <rowItems count="9">
    <i>
      <x/>
    </i>
    <i r="1">
      <x v="2"/>
    </i>
    <i r="1">
      <x v="3"/>
    </i>
    <i r="1">
      <x v="4"/>
    </i>
    <i r="1">
      <x v="5"/>
    </i>
    <i>
      <x v="1"/>
    </i>
    <i r="1">
      <x/>
    </i>
    <i r="1">
      <x v="1"/>
    </i>
    <i t="grand">
      <x/>
    </i>
  </rowItems>
  <colFields count="2">
    <field x="13"/>
    <field x="-2"/>
  </colFields>
  <colItems count="12">
    <i>
      <x/>
      <x/>
    </i>
    <i r="1" i="1">
      <x v="1"/>
    </i>
    <i r="1" i="2">
      <x v="2"/>
    </i>
    <i>
      <x v="1"/>
      <x/>
    </i>
    <i r="1" i="1">
      <x v="1"/>
    </i>
    <i r="1" i="2">
      <x v="2"/>
    </i>
    <i>
      <x v="2"/>
      <x/>
    </i>
    <i r="1" i="1">
      <x v="1"/>
    </i>
    <i r="1" i="2">
      <x v="2"/>
    </i>
    <i t="grand">
      <x/>
    </i>
    <i t="grand" i="1">
      <x/>
    </i>
    <i t="grand" i="2">
      <x/>
    </i>
  </colItems>
  <dataFields count="3">
    <dataField name="Suma de APR. VIGENTE" fld="19" baseField="0" baseItem="0"/>
    <dataField name="Suma de COMPROMISO" fld="23" baseField="0" baseItem="0"/>
    <dataField name="Suma de OBLIGACION" fld="24" baseField="0" baseItem="0"/>
  </dataFields>
  <formats count="28">
    <format dxfId="36">
      <pivotArea field="3" type="button" dataOnly="0" labelOnly="1" outline="0" axis="axisRow" fieldPosition="0"/>
    </format>
    <format dxfId="35">
      <pivotArea dataOnly="0" labelOnly="1" fieldPosition="0">
        <references count="1">
          <reference field="3" count="0"/>
        </references>
      </pivotArea>
    </format>
    <format dxfId="34">
      <pivotArea dataOnly="0" labelOnly="1" grandRow="1" outline="0" fieldPosition="0"/>
    </format>
    <format dxfId="33">
      <pivotArea dataOnly="0" labelOnly="1" fieldPosition="0">
        <references count="2">
          <reference field="3" count="1" selected="0">
            <x v="0"/>
          </reference>
          <reference field="4" count="0"/>
        </references>
      </pivotArea>
    </format>
    <format dxfId="32">
      <pivotArea field="3" type="button" dataOnly="0" labelOnly="1" outline="0" axis="axisRow" fieldPosition="0"/>
    </format>
    <format dxfId="31">
      <pivotArea dataOnly="0" labelOnly="1" fieldPosition="0">
        <references count="1">
          <reference field="3" count="0"/>
        </references>
      </pivotArea>
    </format>
    <format dxfId="30">
      <pivotArea dataOnly="0" labelOnly="1" grandRow="1" outline="0" fieldPosition="0"/>
    </format>
    <format dxfId="29">
      <pivotArea dataOnly="0" labelOnly="1" fieldPosition="0">
        <references count="2">
          <reference field="3" count="1" selected="0">
            <x v="0"/>
          </reference>
          <reference field="4" count="0"/>
        </references>
      </pivotArea>
    </format>
    <format dxfId="28">
      <pivotArea outline="0" collapsedLevelsAreSubtotals="1" fieldPosition="0"/>
    </format>
    <format dxfId="27">
      <pivotArea dataOnly="0" labelOnly="1" fieldPosition="0">
        <references count="1">
          <reference field="13" count="0"/>
        </references>
      </pivotArea>
    </format>
    <format dxfId="26">
      <pivotArea field="13" dataOnly="0" labelOnly="1" grandCol="1" outline="0" axis="axisCol" fieldPosition="0">
        <references count="1">
          <reference field="4294967294" count="1" selected="0">
            <x v="0"/>
          </reference>
        </references>
      </pivotArea>
    </format>
    <format dxfId="25">
      <pivotArea field="13" dataOnly="0" labelOnly="1" grandCol="1" outline="0" axis="axisCol" fieldPosition="0">
        <references count="1">
          <reference field="4294967294" count="1" selected="0">
            <x v="1"/>
          </reference>
        </references>
      </pivotArea>
    </format>
    <format dxfId="24">
      <pivotArea field="13" dataOnly="0" labelOnly="1" grandCol="1" outline="0" axis="axisCol" fieldPosition="0">
        <references count="1">
          <reference field="4294967294" count="1" selected="0">
            <x v="2"/>
          </reference>
        </references>
      </pivotArea>
    </format>
    <format dxfId="23">
      <pivotArea dataOnly="0" labelOnly="1" outline="0" fieldPosition="0">
        <references count="2">
          <reference field="4294967294" count="3">
            <x v="0"/>
            <x v="1"/>
            <x v="2"/>
          </reference>
          <reference field="13" count="1" selected="0">
            <x v="0"/>
          </reference>
        </references>
      </pivotArea>
    </format>
    <format dxfId="22">
      <pivotArea dataOnly="0" labelOnly="1" outline="0" fieldPosition="0">
        <references count="2">
          <reference field="4294967294" count="3">
            <x v="0"/>
            <x v="1"/>
            <x v="2"/>
          </reference>
          <reference field="13" count="1" selected="0">
            <x v="1"/>
          </reference>
        </references>
      </pivotArea>
    </format>
    <format dxfId="21">
      <pivotArea outline="0" collapsedLevelsAreSubtotals="1" fieldPosition="0"/>
    </format>
    <format dxfId="20">
      <pivotArea dataOnly="0" labelOnly="1" fieldPosition="0">
        <references count="1">
          <reference field="13" count="0"/>
        </references>
      </pivotArea>
    </format>
    <format dxfId="19">
      <pivotArea field="13" dataOnly="0" labelOnly="1" grandCol="1" outline="0" axis="axisCol" fieldPosition="0">
        <references count="1">
          <reference field="4294967294" count="1" selected="0">
            <x v="0"/>
          </reference>
        </references>
      </pivotArea>
    </format>
    <format dxfId="18">
      <pivotArea field="13" dataOnly="0" labelOnly="1" grandCol="1" outline="0" axis="axisCol" fieldPosition="0">
        <references count="1">
          <reference field="4294967294" count="1" selected="0">
            <x v="1"/>
          </reference>
        </references>
      </pivotArea>
    </format>
    <format dxfId="17">
      <pivotArea field="13" dataOnly="0" labelOnly="1" grandCol="1" outline="0" axis="axisCol" fieldPosition="0">
        <references count="1">
          <reference field="4294967294" count="1" selected="0">
            <x v="2"/>
          </reference>
        </references>
      </pivotArea>
    </format>
    <format dxfId="16">
      <pivotArea dataOnly="0" labelOnly="1" outline="0" fieldPosition="0">
        <references count="2">
          <reference field="4294967294" count="3">
            <x v="0"/>
            <x v="1"/>
            <x v="2"/>
          </reference>
          <reference field="13" count="1" selected="0">
            <x v="0"/>
          </reference>
        </references>
      </pivotArea>
    </format>
    <format dxfId="15">
      <pivotArea dataOnly="0" labelOnly="1" outline="0" fieldPosition="0">
        <references count="2">
          <reference field="4294967294" count="3">
            <x v="0"/>
            <x v="1"/>
            <x v="2"/>
          </reference>
          <reference field="13" count="1" selected="0">
            <x v="1"/>
          </reference>
        </references>
      </pivotArea>
    </format>
    <format dxfId="14">
      <pivotArea outline="0" collapsedLevelsAreSubtotals="1" fieldPosition="0">
        <references count="2">
          <reference field="4294967294" count="3" selected="0">
            <x v="0"/>
            <x v="1"/>
            <x v="2"/>
          </reference>
          <reference field="13" count="1" selected="0">
            <x v="0"/>
          </reference>
        </references>
      </pivotArea>
    </format>
    <format dxfId="13">
      <pivotArea dataOnly="0" labelOnly="1" fieldPosition="0">
        <references count="1">
          <reference field="13" count="1">
            <x v="0"/>
          </reference>
        </references>
      </pivotArea>
    </format>
    <format dxfId="12">
      <pivotArea dataOnly="0" labelOnly="1" outline="0" fieldPosition="0">
        <references count="2">
          <reference field="4294967294" count="3">
            <x v="0"/>
            <x v="1"/>
            <x v="2"/>
          </reference>
          <reference field="13" count="1" selected="0">
            <x v="0"/>
          </reference>
        </references>
      </pivotArea>
    </format>
    <format dxfId="11">
      <pivotArea outline="0" collapsedLevelsAreSubtotals="1" fieldPosition="0">
        <references count="2">
          <reference field="4294967294" count="3" selected="0">
            <x v="0"/>
            <x v="1"/>
            <x v="2"/>
          </reference>
          <reference field="13" count="1" selected="0">
            <x v="1"/>
          </reference>
        </references>
      </pivotArea>
    </format>
    <format dxfId="10">
      <pivotArea dataOnly="0" labelOnly="1" fieldPosition="0">
        <references count="1">
          <reference field="13" count="1">
            <x v="1"/>
          </reference>
        </references>
      </pivotArea>
    </format>
    <format dxfId="9">
      <pivotArea dataOnly="0" labelOnly="1" outline="0" fieldPosition="0">
        <references count="2">
          <reference field="4294967294" count="3">
            <x v="0"/>
            <x v="1"/>
            <x v="2"/>
          </reference>
          <reference field="13"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2" cacheId="6"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H41" firstHeaderRow="0" firstDataRow="1" firstDataCol="1"/>
  <pivotFields count="27">
    <pivotField showAll="0"/>
    <pivotField showAll="0"/>
    <pivotField showAll="0"/>
    <pivotField axis="axisRow" showAll="0">
      <items count="3">
        <item x="0"/>
        <item x="1"/>
        <item t="default"/>
      </items>
    </pivotField>
    <pivotField axis="axisRow" showAll="0">
      <items count="7">
        <item x="4"/>
        <item x="5"/>
        <item x="0"/>
        <item x="1"/>
        <item x="2"/>
        <item x="3"/>
        <item t="default"/>
      </items>
    </pivotField>
    <pivotField showAll="0"/>
    <pivotField showAll="0"/>
    <pivotField showAll="0"/>
    <pivotField showAll="0"/>
    <pivotField showAll="0"/>
    <pivotField showAll="0"/>
    <pivotField showAll="0" defaultSubtotal="0"/>
    <pivotField showAll="0"/>
    <pivotField showAll="0"/>
    <pivotField showAll="0"/>
    <pivotField axis="axisRow" showAll="0">
      <items count="31">
        <item x="6"/>
        <item x="7"/>
        <item x="24"/>
        <item x="0"/>
        <item x="1"/>
        <item x="2"/>
        <item x="3"/>
        <item x="4"/>
        <item x="5"/>
        <item x="8"/>
        <item x="9"/>
        <item m="1" x="29"/>
        <item x="11"/>
        <item x="12"/>
        <item x="13"/>
        <item x="14"/>
        <item x="15"/>
        <item x="16"/>
        <item x="17"/>
        <item x="18"/>
        <item x="19"/>
        <item x="20"/>
        <item x="21"/>
        <item x="22"/>
        <item x="23"/>
        <item x="25"/>
        <item x="26"/>
        <item x="27"/>
        <item x="28"/>
        <item x="10"/>
        <item t="default"/>
      </items>
    </pivotField>
    <pivotField dataField="1" numFmtId="166" showAll="0"/>
    <pivotField numFmtId="166" showAll="0"/>
    <pivotField numFmtId="166" showAll="0"/>
    <pivotField dataField="1" numFmtId="166" showAll="0"/>
    <pivotField dataField="1" numFmtId="166" showAll="0"/>
    <pivotField dataField="1" numFmtId="166" showAll="0"/>
    <pivotField numFmtId="166" showAll="0"/>
    <pivotField dataField="1" numFmtId="166" showAll="0"/>
    <pivotField dataField="1" numFmtId="166" showAll="0"/>
    <pivotField numFmtId="166" showAll="0"/>
    <pivotField dataField="1" showAll="0" defaultSubtotal="0"/>
  </pivotFields>
  <rowFields count="3">
    <field x="3"/>
    <field x="4"/>
    <field x="15"/>
  </rowFields>
  <rowItems count="38">
    <i>
      <x/>
    </i>
    <i r="1">
      <x v="2"/>
    </i>
    <i r="2">
      <x v="3"/>
    </i>
    <i r="2">
      <x v="4"/>
    </i>
    <i r="2">
      <x v="5"/>
    </i>
    <i r="2">
      <x v="6"/>
    </i>
    <i r="1">
      <x v="3"/>
    </i>
    <i r="2">
      <x v="7"/>
    </i>
    <i r="2">
      <x v="8"/>
    </i>
    <i r="1">
      <x v="4"/>
    </i>
    <i r="2">
      <x/>
    </i>
    <i r="2">
      <x v="1"/>
    </i>
    <i r="2">
      <x v="9"/>
    </i>
    <i r="2">
      <x v="10"/>
    </i>
    <i r="2">
      <x v="12"/>
    </i>
    <i r="2">
      <x v="13"/>
    </i>
    <i r="2">
      <x v="14"/>
    </i>
    <i r="2">
      <x v="29"/>
    </i>
    <i r="1">
      <x v="5"/>
    </i>
    <i r="2">
      <x v="15"/>
    </i>
    <i r="2">
      <x v="16"/>
    </i>
    <i>
      <x v="1"/>
    </i>
    <i r="1">
      <x/>
    </i>
    <i r="2">
      <x v="17"/>
    </i>
    <i r="2">
      <x v="18"/>
    </i>
    <i r="2">
      <x v="19"/>
    </i>
    <i r="2">
      <x v="20"/>
    </i>
    <i r="2">
      <x v="21"/>
    </i>
    <i r="2">
      <x v="22"/>
    </i>
    <i r="2">
      <x v="23"/>
    </i>
    <i r="2">
      <x v="24"/>
    </i>
    <i r="1">
      <x v="1"/>
    </i>
    <i r="2">
      <x v="2"/>
    </i>
    <i r="2">
      <x v="25"/>
    </i>
    <i r="2">
      <x v="26"/>
    </i>
    <i r="2">
      <x v="27"/>
    </i>
    <i r="2">
      <x v="28"/>
    </i>
    <i t="grand">
      <x/>
    </i>
  </rowItems>
  <colFields count="1">
    <field x="-2"/>
  </colFields>
  <colItems count="7">
    <i>
      <x/>
    </i>
    <i i="1">
      <x v="1"/>
    </i>
    <i i="2">
      <x v="2"/>
    </i>
    <i i="3">
      <x v="3"/>
    </i>
    <i i="4">
      <x v="4"/>
    </i>
    <i i="5">
      <x v="5"/>
    </i>
    <i i="6">
      <x v="6"/>
    </i>
  </colItems>
  <dataFields count="7">
    <dataField name="Suma de APR. INICIAL" fld="16" baseField="0" baseItem="0"/>
    <dataField name="Suma de APR. VIGENTE" fld="19" baseField="0" baseItem="0"/>
    <dataField name="Suma de CDP" fld="21" baseField="0" baseItem="0"/>
    <dataField name="Suma de COMPROMISO" fld="23" baseField="0" baseItem="0"/>
    <dataField name="Suma de OBLIGACION" fld="24" baseField="0" baseItem="0"/>
    <dataField name="Suma de PAGOS" fld="26" baseField="0" baseItem="0"/>
    <dataField name="Suma de APR BLOQUEADA" fld="20" baseField="0" baseItem="0"/>
  </dataFields>
  <formats count="9">
    <format dxfId="8">
      <pivotArea outline="0" collapsedLevelsAreSubtotals="1" fieldPosition="0"/>
    </format>
    <format dxfId="7">
      <pivotArea dataOnly="0" labelOnly="1" outline="0" fieldPosition="0">
        <references count="1">
          <reference field="4294967294" count="5">
            <x v="0"/>
            <x v="1"/>
            <x v="2"/>
            <x v="3"/>
            <x v="4"/>
          </reference>
        </references>
      </pivotArea>
    </format>
    <format dxfId="6">
      <pivotArea field="3" type="button" dataOnly="0" labelOnly="1" outline="0" axis="axisRow" fieldPosition="0"/>
    </format>
    <format dxfId="5">
      <pivotArea dataOnly="0" labelOnly="1" fieldPosition="0">
        <references count="1">
          <reference field="3" count="0"/>
        </references>
      </pivotArea>
    </format>
    <format dxfId="4">
      <pivotArea dataOnly="0" labelOnly="1" grandRow="1" outline="0" fieldPosition="0"/>
    </format>
    <format dxfId="3">
      <pivotArea dataOnly="0" labelOnly="1" fieldPosition="0">
        <references count="2">
          <reference field="3" count="1" selected="0">
            <x v="0"/>
          </reference>
          <reference field="4" count="0"/>
        </references>
      </pivotArea>
    </format>
    <format dxfId="2">
      <pivotArea field="3" type="button" dataOnly="0" labelOnly="1" outline="0" axis="axisRow" fieldPosition="0"/>
    </format>
    <format dxfId="1">
      <pivotArea collapsedLevelsAreSubtotals="1" fieldPosition="0">
        <references count="3">
          <reference field="4294967294" count="1" selected="0">
            <x v="1"/>
          </reference>
          <reference field="3" count="1" selected="0">
            <x v="1"/>
          </reference>
          <reference field="4" count="1">
            <x v="1"/>
          </reference>
        </references>
      </pivotArea>
    </format>
    <format dxfId="0">
      <pivotArea collapsedLevelsAreSubtotals="1" fieldPosition="0">
        <references count="4">
          <reference field="4294967294" count="1" selected="0">
            <x v="1"/>
          </reference>
          <reference field="3" count="1" selected="0">
            <x v="1"/>
          </reference>
          <reference field="4" count="1" selected="0">
            <x v="1"/>
          </reference>
          <reference field="15"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O46"/>
  <sheetViews>
    <sheetView tabSelected="1" zoomScale="80" zoomScaleNormal="80" workbookViewId="0">
      <pane xSplit="1" ySplit="7" topLeftCell="B8" activePane="bottomRight" state="frozen"/>
      <selection pane="topRight" activeCell="B1" sqref="B1"/>
      <selection pane="bottomLeft" activeCell="A2" sqref="A2"/>
      <selection pane="bottomRight" activeCell="C32" sqref="C32:D32"/>
    </sheetView>
  </sheetViews>
  <sheetFormatPr baseColWidth="10" defaultRowHeight="15" x14ac:dyDescent="0.25"/>
  <cols>
    <col min="1" max="1" width="45.140625" style="100" customWidth="1"/>
    <col min="2" max="2" width="24.5703125" style="109" bestFit="1" customWidth="1"/>
    <col min="3" max="3" width="23.28515625" style="100" bestFit="1" customWidth="1"/>
    <col min="4" max="4" width="22" style="100" bestFit="1" customWidth="1"/>
    <col min="5" max="5" width="19.5703125" style="100" customWidth="1"/>
    <col min="6" max="6" width="20.5703125" style="111" bestFit="1" customWidth="1"/>
    <col min="7" max="7" width="16.7109375" style="100" bestFit="1" customWidth="1"/>
    <col min="8" max="8" width="23.28515625" style="111" bestFit="1" customWidth="1"/>
    <col min="9" max="9" width="20.5703125" style="111" bestFit="1" customWidth="1"/>
    <col min="10" max="10" width="21.85546875" style="111" customWidth="1"/>
    <col min="11" max="11" width="11.7109375" style="112" bestFit="1" customWidth="1"/>
    <col min="12" max="12" width="23.28515625" style="111" bestFit="1" customWidth="1"/>
    <col min="13" max="13" width="22.42578125" style="112" customWidth="1"/>
    <col min="14" max="14" width="23.28515625" style="111" bestFit="1" customWidth="1"/>
    <col min="15" max="15" width="13.85546875" style="112" customWidth="1"/>
    <col min="16" max="16384" width="11.42578125" style="100"/>
  </cols>
  <sheetData>
    <row r="1" spans="1:15" ht="29.25" customHeight="1" x14ac:dyDescent="0.25">
      <c r="A1" s="96"/>
      <c r="B1" s="97" t="s">
        <v>33</v>
      </c>
      <c r="C1" s="96"/>
      <c r="D1" s="96"/>
      <c r="E1" s="96"/>
      <c r="F1" s="98"/>
      <c r="G1" s="96"/>
      <c r="H1" s="98"/>
      <c r="I1" s="98"/>
      <c r="J1" s="98"/>
      <c r="K1" s="99"/>
      <c r="L1" s="98"/>
      <c r="M1" s="99"/>
      <c r="N1" s="98"/>
      <c r="O1" s="99"/>
    </row>
    <row r="2" spans="1:15" x14ac:dyDescent="0.25">
      <c r="A2" s="96"/>
      <c r="B2" s="96"/>
      <c r="C2" s="96"/>
      <c r="D2" s="96"/>
      <c r="E2" s="96"/>
      <c r="F2" s="98"/>
      <c r="G2" s="96"/>
      <c r="H2" s="98"/>
      <c r="I2" s="98"/>
      <c r="J2" s="98"/>
      <c r="K2" s="99"/>
      <c r="L2" s="98"/>
      <c r="M2" s="99"/>
      <c r="N2" s="98"/>
      <c r="O2" s="99"/>
    </row>
    <row r="3" spans="1:15" x14ac:dyDescent="0.25">
      <c r="A3" s="96"/>
      <c r="B3" s="101" t="s">
        <v>66</v>
      </c>
      <c r="C3" s="96"/>
      <c r="D3" s="96"/>
      <c r="E3" s="96"/>
      <c r="F3" s="98"/>
      <c r="G3" s="96"/>
      <c r="H3" s="98"/>
      <c r="I3" s="98"/>
      <c r="J3" s="98"/>
      <c r="K3" s="99"/>
      <c r="L3" s="98"/>
      <c r="M3" s="99"/>
      <c r="N3" s="98"/>
      <c r="O3" s="99"/>
    </row>
    <row r="4" spans="1:15" x14ac:dyDescent="0.25">
      <c r="A4" s="96"/>
      <c r="B4" s="102" t="str">
        <f>+METAS!D4</f>
        <v>ABRIL - 2019</v>
      </c>
      <c r="C4" s="96"/>
      <c r="D4" s="96"/>
      <c r="E4" s="96"/>
      <c r="F4" s="98"/>
      <c r="G4" s="96"/>
      <c r="H4" s="98"/>
      <c r="I4" s="98"/>
      <c r="J4" s="98"/>
      <c r="K4" s="99"/>
      <c r="L4" s="98"/>
      <c r="M4" s="99"/>
      <c r="N4" s="98"/>
      <c r="O4" s="99"/>
    </row>
    <row r="5" spans="1:15" x14ac:dyDescent="0.25">
      <c r="A5" s="96"/>
      <c r="B5" s="101" t="s">
        <v>96</v>
      </c>
      <c r="C5" s="96"/>
      <c r="D5" s="96"/>
      <c r="E5" s="96"/>
      <c r="F5" s="98"/>
      <c r="G5" s="96"/>
      <c r="H5" s="98"/>
      <c r="I5" s="98"/>
      <c r="J5" s="98"/>
      <c r="K5" s="99"/>
      <c r="L5" s="98"/>
      <c r="M5" s="99"/>
      <c r="N5" s="98"/>
      <c r="O5" s="99"/>
    </row>
    <row r="6" spans="1:15" x14ac:dyDescent="0.25">
      <c r="A6" s="96"/>
      <c r="B6" s="103"/>
      <c r="C6" s="96"/>
      <c r="D6" s="96"/>
      <c r="E6" s="96"/>
      <c r="F6" s="98"/>
      <c r="G6" s="96"/>
      <c r="H6" s="98"/>
      <c r="I6" s="98"/>
      <c r="J6" s="98"/>
      <c r="K6" s="99"/>
      <c r="L6" s="98"/>
      <c r="M6" s="99"/>
      <c r="N6" s="98"/>
      <c r="O6" s="99"/>
    </row>
    <row r="7" spans="1:15" ht="45" x14ac:dyDescent="0.25">
      <c r="A7" s="214" t="s">
        <v>68</v>
      </c>
      <c r="B7" s="215" t="s">
        <v>97</v>
      </c>
      <c r="C7" s="215" t="s">
        <v>98</v>
      </c>
      <c r="D7" s="215" t="s">
        <v>99</v>
      </c>
      <c r="E7" s="216" t="s">
        <v>100</v>
      </c>
      <c r="F7" s="215" t="s">
        <v>101</v>
      </c>
      <c r="G7" s="217" t="s">
        <v>102</v>
      </c>
      <c r="H7" s="215" t="s">
        <v>26</v>
      </c>
      <c r="I7" s="215" t="s">
        <v>103</v>
      </c>
      <c r="J7" s="218" t="s">
        <v>77</v>
      </c>
      <c r="K7" s="219" t="s">
        <v>104</v>
      </c>
      <c r="L7" s="218" t="s">
        <v>105</v>
      </c>
      <c r="M7" s="219" t="s">
        <v>106</v>
      </c>
      <c r="N7" s="218" t="s">
        <v>107</v>
      </c>
      <c r="O7" s="219" t="s">
        <v>108</v>
      </c>
    </row>
    <row r="8" spans="1:15" s="104" customFormat="1" ht="15.75" x14ac:dyDescent="0.25">
      <c r="A8" s="220" t="s">
        <v>83</v>
      </c>
      <c r="B8" s="221">
        <f>B9+B14+B17</f>
        <v>78755679868</v>
      </c>
      <c r="C8" s="221">
        <f>C9+C14+C17</f>
        <v>78755679868</v>
      </c>
      <c r="D8" s="221">
        <f>D9+D14+D17</f>
        <v>25503921270.549995</v>
      </c>
      <c r="E8" s="222">
        <f t="shared" ref="E8:E9" si="0">+D8/C8</f>
        <v>0.32383596095286515</v>
      </c>
      <c r="F8" s="221">
        <f>F9+F14+F17</f>
        <v>18185875567.989998</v>
      </c>
      <c r="G8" s="222">
        <f t="shared" ref="G8:G9" si="1">+F8/C8</f>
        <v>0.23091509842173658</v>
      </c>
      <c r="H8" s="221">
        <f>H9+H14+H17</f>
        <v>69781119146.669998</v>
      </c>
      <c r="I8" s="221">
        <f>I9+I14+I17</f>
        <v>18103365511.989998</v>
      </c>
      <c r="J8" s="221">
        <f>J9+J14+J17</f>
        <v>8974560721.3299999</v>
      </c>
      <c r="K8" s="222">
        <f t="shared" ref="K8:K9" si="2">+J8/C8</f>
        <v>0.11395445682612337</v>
      </c>
      <c r="L8" s="221">
        <f>L9+L14+L17</f>
        <v>53251758597.450005</v>
      </c>
      <c r="M8" s="222">
        <f t="shared" ref="M8:M9" si="3">+L8/C8</f>
        <v>0.67616403904713485</v>
      </c>
      <c r="N8" s="221">
        <f>N9+N14+N17</f>
        <v>60569804300.009995</v>
      </c>
      <c r="O8" s="222">
        <f t="shared" ref="O8:O9" si="4">+N8/C8</f>
        <v>0.76908490157826337</v>
      </c>
    </row>
    <row r="9" spans="1:15" s="104" customFormat="1" ht="15.75" x14ac:dyDescent="0.25">
      <c r="A9" s="223" t="s">
        <v>84</v>
      </c>
      <c r="B9" s="224">
        <f>SUM(B10:B13)</f>
        <v>58763996000</v>
      </c>
      <c r="C9" s="224">
        <f>SUM(C10:C13)</f>
        <v>58763996000</v>
      </c>
      <c r="D9" s="224">
        <f>SUM(D10:D13)</f>
        <v>14423526599</v>
      </c>
      <c r="E9" s="225">
        <f t="shared" si="0"/>
        <v>0.2454483626164565</v>
      </c>
      <c r="F9" s="224">
        <f>SUM(F10:F13)</f>
        <v>14150016625</v>
      </c>
      <c r="G9" s="225">
        <f t="shared" si="1"/>
        <v>0.24079398250929021</v>
      </c>
      <c r="H9" s="224">
        <f>SUM(H10:H13)</f>
        <v>56893965000</v>
      </c>
      <c r="I9" s="224">
        <f>SUM(I10:I13)</f>
        <v>14081921425</v>
      </c>
      <c r="J9" s="224">
        <f>SUM(J10:J13)</f>
        <v>1870031000</v>
      </c>
      <c r="K9" s="225">
        <f t="shared" si="2"/>
        <v>3.1822733770521666E-2</v>
      </c>
      <c r="L9" s="224">
        <f>SUM(L10:L13)</f>
        <v>44340469401</v>
      </c>
      <c r="M9" s="225">
        <f t="shared" si="3"/>
        <v>0.75455163738354347</v>
      </c>
      <c r="N9" s="224">
        <f>SUM(N10:N13)</f>
        <v>44613979375</v>
      </c>
      <c r="O9" s="225">
        <f t="shared" si="4"/>
        <v>0.75920601749070982</v>
      </c>
    </row>
    <row r="10" spans="1:15" x14ac:dyDescent="0.25">
      <c r="A10" s="226" t="str">
        <f>+'TD-EPA'!A6</f>
        <v>SALARIO</v>
      </c>
      <c r="B10" s="227">
        <f>VLOOKUP(A10,'TD-EPA'!$A$5:$H$36,2,0)</f>
        <v>40628002000</v>
      </c>
      <c r="C10" s="228">
        <f>VLOOKUP(A10,'TD-EPA'!$A$5:$H$36,3,0)</f>
        <v>40628002000</v>
      </c>
      <c r="D10" s="228">
        <f>VLOOKUP(A10,'TD-EPA'!$A$5:$H$36,5,0)</f>
        <v>10951516824</v>
      </c>
      <c r="E10" s="229">
        <f>+D10/C10</f>
        <v>0.26955587980920154</v>
      </c>
      <c r="F10" s="227">
        <f>VLOOKUP(A10,'TD-EPA'!$A$5:$H$36,6,0)</f>
        <v>10682958058</v>
      </c>
      <c r="G10" s="229">
        <f>+F10/C10</f>
        <v>0.26294569095472625</v>
      </c>
      <c r="H10" s="227">
        <f>VLOOKUP(A10,'TD-EPA'!$A$5:$H$36,4,0)</f>
        <v>40628002000</v>
      </c>
      <c r="I10" s="227">
        <f>VLOOKUP(A10,'TD-EPA'!$A$5:$H$36,7,0)</f>
        <v>10682958058</v>
      </c>
      <c r="J10" s="227">
        <f>+C10-H10</f>
        <v>0</v>
      </c>
      <c r="K10" s="229">
        <f>+J10/C10</f>
        <v>0</v>
      </c>
      <c r="L10" s="227">
        <f>+C10-D10</f>
        <v>29676485176</v>
      </c>
      <c r="M10" s="229">
        <f>+L10/C10</f>
        <v>0.73044412019079841</v>
      </c>
      <c r="N10" s="227">
        <f>+C10-F10</f>
        <v>29945043942</v>
      </c>
      <c r="O10" s="229">
        <f>+N10/C10</f>
        <v>0.7370543090452738</v>
      </c>
    </row>
    <row r="11" spans="1:15" ht="28.5" x14ac:dyDescent="0.25">
      <c r="A11" s="226" t="str">
        <f>+'TD-EPA'!A7</f>
        <v>CONTRIBUCIONES INHERENTES A LA NÓMINA</v>
      </c>
      <c r="B11" s="227">
        <f>VLOOKUP(A11,'TD-EPA'!$A$5:$H$36,2,0)</f>
        <v>13022354000</v>
      </c>
      <c r="C11" s="228">
        <f>VLOOKUP(A11,'TD-EPA'!$A$5:$H$36,3,0)</f>
        <v>13022354000</v>
      </c>
      <c r="D11" s="228">
        <f>VLOOKUP(A11,'TD-EPA'!$A$5:$H$36,5,0)</f>
        <v>2917228743</v>
      </c>
      <c r="E11" s="229">
        <f t="shared" ref="E11:E42" si="5">D11/C11</f>
        <v>0.22401700514361689</v>
      </c>
      <c r="F11" s="227">
        <f>VLOOKUP(A11,'TD-EPA'!$A$5:$H$36,6,0)</f>
        <v>2917228743</v>
      </c>
      <c r="G11" s="229">
        <f t="shared" ref="G11:G42" si="6">+F11/C11</f>
        <v>0.22401700514361689</v>
      </c>
      <c r="H11" s="227">
        <f>VLOOKUP(A11,'TD-EPA'!$A$5:$H$36,4,0)</f>
        <v>13022354000</v>
      </c>
      <c r="I11" s="227">
        <f>VLOOKUP(A11,'TD-EPA'!$A$5:$H$36,7,0)</f>
        <v>2849133543</v>
      </c>
      <c r="J11" s="227">
        <f t="shared" ref="J11:J39" si="7">+C11-H11</f>
        <v>0</v>
      </c>
      <c r="K11" s="229">
        <f t="shared" ref="K11:K42" si="8">+J11/C11</f>
        <v>0</v>
      </c>
      <c r="L11" s="227">
        <f t="shared" ref="L11:L39" si="9">+C11-D11</f>
        <v>10105125257</v>
      </c>
      <c r="M11" s="229">
        <f>+L11/C11</f>
        <v>0.77598299485638311</v>
      </c>
      <c r="N11" s="227">
        <f t="shared" ref="N11:N39" si="10">+C11-F11</f>
        <v>10105125257</v>
      </c>
      <c r="O11" s="229">
        <f t="shared" ref="O11:O42" si="11">+N11/C11</f>
        <v>0.77598299485638311</v>
      </c>
    </row>
    <row r="12" spans="1:15" ht="28.5" x14ac:dyDescent="0.25">
      <c r="A12" s="226" t="str">
        <f>+'TD-EPA'!A8</f>
        <v>REMUNERACIONES NO CONSTITUTIVAS DE FACTOR SALARIAL</v>
      </c>
      <c r="B12" s="227">
        <f>VLOOKUP(A12,'TD-EPA'!$A$5:$H$36,2,0)</f>
        <v>3243609000</v>
      </c>
      <c r="C12" s="228">
        <f>VLOOKUP(A12,'TD-EPA'!$A$5:$H$36,3,0)</f>
        <v>3243609000</v>
      </c>
      <c r="D12" s="228">
        <f>VLOOKUP(A12,'TD-EPA'!$A$5:$H$36,5,0)</f>
        <v>554781032</v>
      </c>
      <c r="E12" s="229">
        <f t="shared" si="5"/>
        <v>0.17103819603410891</v>
      </c>
      <c r="F12" s="227">
        <f>VLOOKUP(A12,'TD-EPA'!$A$5:$H$36,6,0)</f>
        <v>549829824</v>
      </c>
      <c r="G12" s="229">
        <f t="shared" si="6"/>
        <v>0.16951174571287722</v>
      </c>
      <c r="H12" s="227">
        <f>VLOOKUP(A12,'TD-EPA'!$A$5:$H$36,4,0)</f>
        <v>3243609000</v>
      </c>
      <c r="I12" s="227">
        <f>VLOOKUP(A12,'TD-EPA'!$A$5:$H$36,7,0)</f>
        <v>549829824</v>
      </c>
      <c r="J12" s="227">
        <f t="shared" si="7"/>
        <v>0</v>
      </c>
      <c r="K12" s="229">
        <f t="shared" si="8"/>
        <v>0</v>
      </c>
      <c r="L12" s="227">
        <f t="shared" si="9"/>
        <v>2688827968</v>
      </c>
      <c r="M12" s="229">
        <f t="shared" ref="M12:M42" si="12">+L12/C12</f>
        <v>0.82896180396589103</v>
      </c>
      <c r="N12" s="227">
        <f t="shared" si="10"/>
        <v>2693779176</v>
      </c>
      <c r="O12" s="229">
        <f t="shared" si="11"/>
        <v>0.83048825428712281</v>
      </c>
    </row>
    <row r="13" spans="1:15" ht="28.5" x14ac:dyDescent="0.25">
      <c r="A13" s="226" t="str">
        <f>+'TD-EPA'!A9</f>
        <v>OTROS GASTOS DE PERSONAL - PREVIO CONCEPTO DGPPN</v>
      </c>
      <c r="B13" s="227">
        <f>VLOOKUP(A13,'TD-EPA'!$A$5:$H$36,2,0)</f>
        <v>1870031000</v>
      </c>
      <c r="C13" s="228">
        <f>VLOOKUP(A13,'TD-EPA'!$A$5:$H$36,3,0)</f>
        <v>1870031000</v>
      </c>
      <c r="D13" s="228">
        <f>VLOOKUP(A13,'TD-EPA'!$A$5:$H$36,5,0)</f>
        <v>0</v>
      </c>
      <c r="E13" s="229">
        <f t="shared" si="5"/>
        <v>0</v>
      </c>
      <c r="F13" s="227">
        <f>VLOOKUP(A13,'TD-EPA'!$A$5:$H$36,6,0)</f>
        <v>0</v>
      </c>
      <c r="G13" s="229">
        <f t="shared" si="6"/>
        <v>0</v>
      </c>
      <c r="H13" s="227">
        <f>VLOOKUP(A13,'TD-EPA'!$A$5:$H$36,4,0)</f>
        <v>0</v>
      </c>
      <c r="I13" s="227">
        <f>VLOOKUP(A13,'TD-EPA'!$A$5:$H$36,7,0)</f>
        <v>0</v>
      </c>
      <c r="J13" s="227">
        <f t="shared" si="7"/>
        <v>1870031000</v>
      </c>
      <c r="K13" s="229">
        <f t="shared" si="8"/>
        <v>1</v>
      </c>
      <c r="L13" s="227">
        <f t="shared" si="9"/>
        <v>1870031000</v>
      </c>
      <c r="M13" s="229">
        <f t="shared" si="12"/>
        <v>1</v>
      </c>
      <c r="N13" s="227">
        <f t="shared" si="10"/>
        <v>1870031000</v>
      </c>
      <c r="O13" s="229">
        <f t="shared" si="11"/>
        <v>1</v>
      </c>
    </row>
    <row r="14" spans="1:15" s="104" customFormat="1" ht="15" customHeight="1" x14ac:dyDescent="0.25">
      <c r="A14" s="223" t="s">
        <v>85</v>
      </c>
      <c r="B14" s="224">
        <f>SUM(B15:B16)</f>
        <v>12676328868</v>
      </c>
      <c r="C14" s="224">
        <f>SUM(C15:C16)</f>
        <v>12676328868</v>
      </c>
      <c r="D14" s="224">
        <f>SUM(D15:D16)</f>
        <v>10200301765.629999</v>
      </c>
      <c r="E14" s="225">
        <f t="shared" si="5"/>
        <v>0.80467317248131209</v>
      </c>
      <c r="F14" s="224">
        <f t="shared" ref="F14" si="13">SUM(F15:F16)</f>
        <v>3160174721.9099998</v>
      </c>
      <c r="G14" s="225">
        <f t="shared" si="6"/>
        <v>0.2492973127170528</v>
      </c>
      <c r="H14" s="224">
        <f t="shared" ref="H14:N14" si="14">SUM(H15:H16)</f>
        <v>11007826984</v>
      </c>
      <c r="I14" s="224">
        <f t="shared" si="14"/>
        <v>3153692320.9099998</v>
      </c>
      <c r="J14" s="224">
        <f t="shared" si="14"/>
        <v>1668501884</v>
      </c>
      <c r="K14" s="225">
        <f t="shared" si="8"/>
        <v>0.13162342988843953</v>
      </c>
      <c r="L14" s="224">
        <f t="shared" si="14"/>
        <v>2476027102.3700008</v>
      </c>
      <c r="M14" s="225">
        <f t="shared" si="12"/>
        <v>0.19532682751868793</v>
      </c>
      <c r="N14" s="224">
        <f t="shared" si="14"/>
        <v>9516154146.0900002</v>
      </c>
      <c r="O14" s="225">
        <f t="shared" si="11"/>
        <v>0.7507026872829472</v>
      </c>
    </row>
    <row r="15" spans="1:15" ht="28.5" x14ac:dyDescent="0.25">
      <c r="A15" s="226" t="str">
        <f>+'TD-EPA'!A11</f>
        <v>ADQUISICIÓN DE ACTIVOS NO FINANCIEROS</v>
      </c>
      <c r="B15" s="227">
        <f>VLOOKUP(A15,'TD-EPA'!$A$5:$H$36,2,0)</f>
        <v>10000000</v>
      </c>
      <c r="C15" s="228">
        <f>VLOOKUP(A15,'TD-EPA'!$A$5:$H$36,3,0)</f>
        <v>10000000</v>
      </c>
      <c r="D15" s="228">
        <f>VLOOKUP(A15,'TD-EPA'!$A$5:$H$36,5,0)</f>
        <v>6723879</v>
      </c>
      <c r="E15" s="229">
        <f t="shared" si="5"/>
        <v>0.67238790000000004</v>
      </c>
      <c r="F15" s="227">
        <f>VLOOKUP(A15,'TD-EPA'!$A$5:$H$36,6,0)</f>
        <v>4000000</v>
      </c>
      <c r="G15" s="229">
        <f t="shared" si="6"/>
        <v>0.4</v>
      </c>
      <c r="H15" s="227">
        <f>VLOOKUP(A15,'TD-EPA'!$A$5:$H$36,4,0)</f>
        <v>7033899</v>
      </c>
      <c r="I15" s="227">
        <f>VLOOKUP(A15,'TD-EPA'!$A$5:$H$36,7,0)</f>
        <v>4000000</v>
      </c>
      <c r="J15" s="227">
        <f t="shared" si="7"/>
        <v>2966101</v>
      </c>
      <c r="K15" s="229">
        <f t="shared" si="8"/>
        <v>0.29661009999999999</v>
      </c>
      <c r="L15" s="227">
        <f t="shared" si="9"/>
        <v>3276121</v>
      </c>
      <c r="M15" s="229">
        <f t="shared" si="12"/>
        <v>0.32761210000000002</v>
      </c>
      <c r="N15" s="227">
        <f t="shared" si="10"/>
        <v>6000000</v>
      </c>
      <c r="O15" s="229">
        <f t="shared" si="11"/>
        <v>0.6</v>
      </c>
    </row>
    <row r="16" spans="1:15" ht="28.5" x14ac:dyDescent="0.25">
      <c r="A16" s="226" t="str">
        <f>+'TD-EPA'!A12</f>
        <v>ADQUISICIONES DIFERENTES DE ACTIVOS</v>
      </c>
      <c r="B16" s="227">
        <f>VLOOKUP(A16,'TD-EPA'!$A$5:$H$36,2,0)</f>
        <v>12666328868</v>
      </c>
      <c r="C16" s="228">
        <f>VLOOKUP(A16,'TD-EPA'!$A$5:$H$36,3,0)</f>
        <v>12666328868</v>
      </c>
      <c r="D16" s="228">
        <f>VLOOKUP(A16,'TD-EPA'!$A$5:$H$36,5,0)</f>
        <v>10193577886.629999</v>
      </c>
      <c r="E16" s="229">
        <f t="shared" si="5"/>
        <v>0.80477761100794432</v>
      </c>
      <c r="F16" s="227">
        <f>VLOOKUP(A16,'TD-EPA'!$A$5:$H$36,6,0)</f>
        <v>3156174721.9099998</v>
      </c>
      <c r="G16" s="229">
        <f>+F16/C16</f>
        <v>0.24917833373833412</v>
      </c>
      <c r="H16" s="227">
        <f>VLOOKUP(A16,'TD-EPA'!$A$5:$H$36,4,0)</f>
        <v>11000793085</v>
      </c>
      <c r="I16" s="227">
        <f>VLOOKUP(A16,'TD-EPA'!$A$5:$H$36,7,0)</f>
        <v>3149692320.9099998</v>
      </c>
      <c r="J16" s="227">
        <f t="shared" si="7"/>
        <v>1665535783</v>
      </c>
      <c r="K16" s="229">
        <f t="shared" si="8"/>
        <v>0.13149317378042991</v>
      </c>
      <c r="L16" s="227">
        <f t="shared" si="9"/>
        <v>2472750981.3700008</v>
      </c>
      <c r="M16" s="229">
        <f t="shared" si="12"/>
        <v>0.19522238899205571</v>
      </c>
      <c r="N16" s="227">
        <f t="shared" si="10"/>
        <v>9510154146.0900002</v>
      </c>
      <c r="O16" s="229">
        <f t="shared" si="11"/>
        <v>0.75082166626166591</v>
      </c>
    </row>
    <row r="17" spans="1:15" s="104" customFormat="1" ht="15.75" x14ac:dyDescent="0.25">
      <c r="A17" s="223" t="s">
        <v>86</v>
      </c>
      <c r="B17" s="224">
        <f>SUM(B18:B27)</f>
        <v>7315355000</v>
      </c>
      <c r="C17" s="224">
        <f>SUM(C18:C27)</f>
        <v>7315355000</v>
      </c>
      <c r="D17" s="224">
        <f>SUM(D18:D27)</f>
        <v>880092905.92000008</v>
      </c>
      <c r="E17" s="225">
        <f>D17/C17</f>
        <v>0.12030761404197063</v>
      </c>
      <c r="F17" s="224">
        <f>SUM(F18:F27)</f>
        <v>875684221.07999992</v>
      </c>
      <c r="G17" s="225">
        <f>+F17/C17</f>
        <v>0.11970495226547447</v>
      </c>
      <c r="H17" s="224">
        <f>SUM(H18:H27)</f>
        <v>1879327162.6700001</v>
      </c>
      <c r="I17" s="224">
        <f>SUM(I18:I27)</f>
        <v>867751766.07999992</v>
      </c>
      <c r="J17" s="224">
        <f>SUM(J18:J27)</f>
        <v>5436027837.3299999</v>
      </c>
      <c r="K17" s="225">
        <f t="shared" si="8"/>
        <v>0.74309829630004287</v>
      </c>
      <c r="L17" s="224">
        <f>SUM(L18:L27)</f>
        <v>6435262094.0799999</v>
      </c>
      <c r="M17" s="225">
        <f t="shared" si="12"/>
        <v>0.87969238595802934</v>
      </c>
      <c r="N17" s="224">
        <f>SUM(N18:N27)</f>
        <v>6439670778.9200001</v>
      </c>
      <c r="O17" s="225">
        <f>+N17/C17</f>
        <v>0.88029504773452549</v>
      </c>
    </row>
    <row r="18" spans="1:15" ht="42.75" x14ac:dyDescent="0.25">
      <c r="A18" s="226" t="str">
        <f>+'TD-EPA'!A14</f>
        <v>CONVENCION DEL METRO - OFICINA INTERNACIONAL DE PESAS Y MEDIDAS - BIPM. LEY 1512 DE 2012</v>
      </c>
      <c r="B18" s="227">
        <f>VLOOKUP(A18,'TD-EPA'!$A$5:$H$36,2,0)</f>
        <v>81269000</v>
      </c>
      <c r="C18" s="228">
        <f>VLOOKUP(A18,'TD-EPA'!$A$5:$H$36,3,0)</f>
        <v>81269000</v>
      </c>
      <c r="D18" s="228">
        <f>VLOOKUP(A18,'TD-EPA'!$A$5:$H$36,5,0)</f>
        <v>0</v>
      </c>
      <c r="E18" s="229">
        <f t="shared" si="5"/>
        <v>0</v>
      </c>
      <c r="F18" s="227">
        <f>VLOOKUP(A18,'TD-EPA'!$A$5:$H$36,6,0)</f>
        <v>0</v>
      </c>
      <c r="G18" s="229">
        <f t="shared" si="6"/>
        <v>0</v>
      </c>
      <c r="H18" s="227">
        <f>VLOOKUP(A18,'TD-EPA'!$A$5:$H$36,4,0)</f>
        <v>0</v>
      </c>
      <c r="I18" s="227">
        <f>VLOOKUP(A18,'TD-EPA'!$A$5:$H$36,7,0)</f>
        <v>0</v>
      </c>
      <c r="J18" s="227">
        <f t="shared" si="7"/>
        <v>81269000</v>
      </c>
      <c r="K18" s="229">
        <f t="shared" si="8"/>
        <v>1</v>
      </c>
      <c r="L18" s="227">
        <f t="shared" si="9"/>
        <v>81269000</v>
      </c>
      <c r="M18" s="229">
        <f t="shared" si="12"/>
        <v>1</v>
      </c>
      <c r="N18" s="227">
        <f t="shared" si="10"/>
        <v>81269000</v>
      </c>
      <c r="O18" s="229">
        <f t="shared" si="11"/>
        <v>1</v>
      </c>
    </row>
    <row r="19" spans="1:15" ht="42.75" x14ac:dyDescent="0.25">
      <c r="A19" s="226" t="str">
        <f>+'TD-EPA'!A15</f>
        <v>ORGANIZACION PARA LA COOPERACION Y EL DESARROLLO ECONOMICO OCDE-ARTICULO 47 LEY 1450 DE 2011</v>
      </c>
      <c r="B19" s="227">
        <f>VLOOKUP(A19,'TD-EPA'!$A$5:$H$36,2,0)</f>
        <v>206493000</v>
      </c>
      <c r="C19" s="228">
        <f>VLOOKUP(A19,'TD-EPA'!$A$5:$H$36,3,0)</f>
        <v>206493000</v>
      </c>
      <c r="D19" s="228">
        <f>VLOOKUP(A19,'TD-EPA'!$A$5:$H$36,5,0)</f>
        <v>0</v>
      </c>
      <c r="E19" s="229">
        <f t="shared" si="5"/>
        <v>0</v>
      </c>
      <c r="F19" s="227">
        <f>VLOOKUP(A19,'TD-EPA'!$A$5:$H$36,6,0)</f>
        <v>0</v>
      </c>
      <c r="G19" s="229">
        <f t="shared" si="6"/>
        <v>0</v>
      </c>
      <c r="H19" s="227">
        <f>VLOOKUP(A19,'TD-EPA'!$A$5:$H$36,4,0)</f>
        <v>0</v>
      </c>
      <c r="I19" s="227">
        <f>VLOOKUP(A19,'TD-EPA'!$A$5:$H$36,7,0)</f>
        <v>0</v>
      </c>
      <c r="J19" s="227">
        <f t="shared" si="7"/>
        <v>206493000</v>
      </c>
      <c r="K19" s="229">
        <f t="shared" si="8"/>
        <v>1</v>
      </c>
      <c r="L19" s="227">
        <f t="shared" si="9"/>
        <v>206493000</v>
      </c>
      <c r="M19" s="229">
        <f t="shared" si="12"/>
        <v>1</v>
      </c>
      <c r="N19" s="227">
        <f t="shared" si="10"/>
        <v>206493000</v>
      </c>
      <c r="O19" s="229">
        <f t="shared" si="11"/>
        <v>1</v>
      </c>
    </row>
    <row r="20" spans="1:15" ht="57" x14ac:dyDescent="0.25">
      <c r="A20" s="226" t="str">
        <f>+'TD-EPA'!A16</f>
        <v>PROVISIÓN PARA GASTOS INSTITUCIONALES Y/O SECTORIALES CONTINGENTES- PREVIO CONCEPTO DGPPN</v>
      </c>
      <c r="B20" s="227">
        <f>VLOOKUP(A20,'TD-EPA'!$A$5:$H$36,2,0)</f>
        <v>1446200000</v>
      </c>
      <c r="C20" s="228">
        <f>VLOOKUP(A20,'TD-EPA'!$A$5:$H$36,3,0)</f>
        <v>1446200000</v>
      </c>
      <c r="D20" s="228">
        <f>VLOOKUP(A20,'TD-EPA'!$A$5:$H$36,5,0)</f>
        <v>0</v>
      </c>
      <c r="E20" s="229">
        <f t="shared" si="5"/>
        <v>0</v>
      </c>
      <c r="F20" s="227">
        <f>VLOOKUP(A20,'TD-EPA'!$A$5:$H$36,6,0)</f>
        <v>0</v>
      </c>
      <c r="G20" s="229">
        <f t="shared" si="6"/>
        <v>0</v>
      </c>
      <c r="H20" s="227">
        <f>VLOOKUP(A20,'TD-EPA'!$A$5:$H$36,4,0)</f>
        <v>0</v>
      </c>
      <c r="I20" s="227">
        <f>VLOOKUP(A20,'TD-EPA'!$A$5:$H$36,7,0)</f>
        <v>0</v>
      </c>
      <c r="J20" s="227">
        <f t="shared" si="7"/>
        <v>1446200000</v>
      </c>
      <c r="K20" s="229">
        <f t="shared" si="8"/>
        <v>1</v>
      </c>
      <c r="L20" s="227">
        <f t="shared" si="9"/>
        <v>1446200000</v>
      </c>
      <c r="M20" s="229">
        <f t="shared" si="12"/>
        <v>1</v>
      </c>
      <c r="N20" s="227">
        <f t="shared" si="10"/>
        <v>1446200000</v>
      </c>
      <c r="O20" s="229">
        <f t="shared" si="11"/>
        <v>1</v>
      </c>
    </row>
    <row r="21" spans="1:15" x14ac:dyDescent="0.25">
      <c r="A21" s="226" t="str">
        <f>+'TD-EPA'!A17</f>
        <v>MESADAS PENSIONALES (DE PENSIONES)</v>
      </c>
      <c r="B21" s="227">
        <f>VLOOKUP(A21,'TD-EPA'!$A$5:$H$36,2,0)</f>
        <v>418365000</v>
      </c>
      <c r="C21" s="228">
        <f>VLOOKUP(A21,'TD-EPA'!$A$5:$H$36,3,0)</f>
        <v>418365000</v>
      </c>
      <c r="D21" s="228">
        <f>VLOOKUP(A21,'TD-EPA'!$A$5:$H$36,5,0)</f>
        <v>96002907.920000002</v>
      </c>
      <c r="E21" s="229">
        <f t="shared" si="5"/>
        <v>0.22947165255219726</v>
      </c>
      <c r="F21" s="227">
        <f>VLOOKUP(A21,'TD-EPA'!$A$5:$H$36,6,0)</f>
        <v>95689074.079999998</v>
      </c>
      <c r="G21" s="229">
        <f t="shared" si="6"/>
        <v>0.2287215089216354</v>
      </c>
      <c r="H21" s="227">
        <f>VLOOKUP(A21,'TD-EPA'!$A$5:$H$36,4,0)</f>
        <v>418365000</v>
      </c>
      <c r="I21" s="227">
        <f>VLOOKUP(A21,'TD-EPA'!$A$5:$H$36,7,0)</f>
        <v>95689074.079999998</v>
      </c>
      <c r="J21" s="227">
        <f t="shared" si="7"/>
        <v>0</v>
      </c>
      <c r="K21" s="229">
        <f t="shared" si="8"/>
        <v>0</v>
      </c>
      <c r="L21" s="227">
        <f t="shared" si="9"/>
        <v>322362092.07999998</v>
      </c>
      <c r="M21" s="229">
        <f t="shared" si="12"/>
        <v>0.77052834744780274</v>
      </c>
      <c r="N21" s="227">
        <f t="shared" si="10"/>
        <v>322675925.92000002</v>
      </c>
      <c r="O21" s="229">
        <f t="shared" si="11"/>
        <v>0.77127849107836466</v>
      </c>
    </row>
    <row r="22" spans="1:15" ht="28.5" x14ac:dyDescent="0.25">
      <c r="A22" s="226" t="str">
        <f>+'TD-EPA'!A18</f>
        <v>APORTE PREVISION SOCIAL SERVICIOS MEDICOS (NO DE PENSIONES)</v>
      </c>
      <c r="B22" s="227">
        <f>VLOOKUP(A22,'TD-EPA'!$A$5:$H$36,2,0)</f>
        <v>626000000</v>
      </c>
      <c r="C22" s="228">
        <f>VLOOKUP(A22,'TD-EPA'!$A$5:$H$36,3,0)</f>
        <v>626000000</v>
      </c>
      <c r="D22" s="228">
        <f>VLOOKUP(A22,'TD-EPA'!$A$5:$H$36,5,0)</f>
        <v>227950485</v>
      </c>
      <c r="E22" s="229">
        <f>D22/C22</f>
        <v>0.36413815495207669</v>
      </c>
      <c r="F22" s="227">
        <f>VLOOKUP(A22,'TD-EPA'!$A$5:$H$36,6,0)</f>
        <v>227950485</v>
      </c>
      <c r="G22" s="229">
        <f t="shared" si="6"/>
        <v>0.36413815495207669</v>
      </c>
      <c r="H22" s="227">
        <f>VLOOKUP(A22,'TD-EPA'!$A$5:$H$36,4,0)</f>
        <v>626000000</v>
      </c>
      <c r="I22" s="227">
        <f>VLOOKUP(A22,'TD-EPA'!$A$5:$H$36,7,0)</f>
        <v>227950485</v>
      </c>
      <c r="J22" s="227">
        <f t="shared" si="7"/>
        <v>0</v>
      </c>
      <c r="K22" s="229">
        <f t="shared" si="8"/>
        <v>0</v>
      </c>
      <c r="L22" s="227">
        <f t="shared" si="9"/>
        <v>398049515</v>
      </c>
      <c r="M22" s="229">
        <f t="shared" si="12"/>
        <v>0.63586184504792331</v>
      </c>
      <c r="N22" s="227">
        <f t="shared" si="10"/>
        <v>398049515</v>
      </c>
      <c r="O22" s="229">
        <f t="shared" si="11"/>
        <v>0.63586184504792331</v>
      </c>
    </row>
    <row r="23" spans="1:15" x14ac:dyDescent="0.25">
      <c r="A23" s="226" t="str">
        <f>+'TD-EPA'!A19</f>
        <v>SENTENCIAS</v>
      </c>
      <c r="B23" s="227">
        <f>VLOOKUP(A23,'TD-EPA'!$A$5:$H$36,2,0)</f>
        <v>2060000000</v>
      </c>
      <c r="C23" s="228">
        <f>VLOOKUP(A23,'TD-EPA'!$A$5:$H$36,3,0)</f>
        <v>2060000000</v>
      </c>
      <c r="D23" s="228">
        <f>VLOOKUP(A23,'TD-EPA'!$A$5:$H$36,5,0)</f>
        <v>233721909</v>
      </c>
      <c r="E23" s="229">
        <f t="shared" si="5"/>
        <v>0.11345723737864077</v>
      </c>
      <c r="F23" s="227">
        <f>VLOOKUP(A23,'TD-EPA'!$A$5:$H$36,6,0)</f>
        <v>233721909</v>
      </c>
      <c r="G23" s="229">
        <f t="shared" si="6"/>
        <v>0.11345723737864077</v>
      </c>
      <c r="H23" s="227">
        <f>VLOOKUP(A23,'TD-EPA'!$A$5:$H$36,4,0)</f>
        <v>304183536</v>
      </c>
      <c r="I23" s="227">
        <f>VLOOKUP(A23,'TD-EPA'!$A$5:$H$36,7,0)</f>
        <v>230064169</v>
      </c>
      <c r="J23" s="227">
        <f t="shared" si="7"/>
        <v>1755816464</v>
      </c>
      <c r="K23" s="229">
        <f t="shared" si="8"/>
        <v>0.85233808932038835</v>
      </c>
      <c r="L23" s="227">
        <f t="shared" si="9"/>
        <v>1826278091</v>
      </c>
      <c r="M23" s="229">
        <f t="shared" si="12"/>
        <v>0.88654276262135923</v>
      </c>
      <c r="N23" s="227">
        <f t="shared" si="10"/>
        <v>1826278091</v>
      </c>
      <c r="O23" s="229">
        <f t="shared" si="11"/>
        <v>0.88654276262135923</v>
      </c>
    </row>
    <row r="24" spans="1:15" x14ac:dyDescent="0.25">
      <c r="A24" s="226" t="str">
        <f>+'TD-EPA'!A20</f>
        <v>CONCILIACIONES</v>
      </c>
      <c r="B24" s="227">
        <f>VLOOKUP(A24,'TD-EPA'!$A$5:$H$36,2,0)</f>
        <v>2060000000</v>
      </c>
      <c r="C24" s="228">
        <f>VLOOKUP(A24,'TD-EPA'!$A$5:$H$36,3,0)</f>
        <v>2060000000</v>
      </c>
      <c r="D24" s="228">
        <f>VLOOKUP(A24,'TD-EPA'!$A$5:$H$36,5,0)</f>
        <v>317249945</v>
      </c>
      <c r="E24" s="229">
        <f t="shared" ref="E24" si="15">D24/C24</f>
        <v>0.15400482766990292</v>
      </c>
      <c r="F24" s="227">
        <f>VLOOKUP(A24,'TD-EPA'!$A$5:$H$36,6,0)</f>
        <v>313155094</v>
      </c>
      <c r="G24" s="229">
        <f t="shared" ref="G24" si="16">+F24/C24</f>
        <v>0.1520170359223301</v>
      </c>
      <c r="H24" s="227">
        <f>VLOOKUP(A24,'TD-EPA'!$A$5:$H$36,4,0)</f>
        <v>399085065</v>
      </c>
      <c r="I24" s="227">
        <f>VLOOKUP(A24,'TD-EPA'!$A$5:$H$36,7,0)</f>
        <v>311775671</v>
      </c>
      <c r="J24" s="227">
        <f t="shared" ref="J24" si="17">+C24-H24</f>
        <v>1660914935</v>
      </c>
      <c r="K24" s="229">
        <f t="shared" ref="K24" si="18">+J24/C24</f>
        <v>0.80626938592233011</v>
      </c>
      <c r="L24" s="227">
        <f t="shared" ref="L24" si="19">+C24-D24</f>
        <v>1742750055</v>
      </c>
      <c r="M24" s="229">
        <f t="shared" ref="M24" si="20">+L24/C24</f>
        <v>0.84599517233009713</v>
      </c>
      <c r="N24" s="227">
        <f t="shared" ref="N24" si="21">+C24-F24</f>
        <v>1746844906</v>
      </c>
      <c r="O24" s="229">
        <f t="shared" ref="O24" si="22">+N24/C24</f>
        <v>0.84798296407766993</v>
      </c>
    </row>
    <row r="25" spans="1:15" ht="42.75" x14ac:dyDescent="0.25">
      <c r="A25" s="226" t="str">
        <f>+'TD-EPA'!A21</f>
        <v>INCAPACIDADES Y LICENCIAS DE MATERNIDAD Y PATERNIDAD (NO DE PENSIONES)</v>
      </c>
      <c r="B25" s="227">
        <f>VLOOKUP(A25,'TD-EPA'!$A$5:$H$36,2,0)</f>
        <v>128770000</v>
      </c>
      <c r="C25" s="228">
        <f>VLOOKUP(A25,'TD-EPA'!$A$5:$H$36,3,0)</f>
        <v>128770000</v>
      </c>
      <c r="D25" s="228">
        <f>VLOOKUP(A25,'TD-EPA'!$A$5:$H$36,5,0)</f>
        <v>2272367</v>
      </c>
      <c r="E25" s="229">
        <f>D25/C25</f>
        <v>1.7646711190494681E-2</v>
      </c>
      <c r="F25" s="227">
        <f>VLOOKUP(A25,'TD-EPA'!$A$5:$H$36,6,0)</f>
        <v>2272367</v>
      </c>
      <c r="G25" s="229">
        <f t="shared" ref="G25" si="23">+F25/C25</f>
        <v>1.7646711190494681E-2</v>
      </c>
      <c r="H25" s="227">
        <f>VLOOKUP(A25,'TD-EPA'!$A$5:$H$36,4,0)</f>
        <v>128770000</v>
      </c>
      <c r="I25" s="227">
        <f>VLOOKUP(A25,'TD-EPA'!$A$5:$H$36,7,0)</f>
        <v>2272367</v>
      </c>
      <c r="J25" s="227">
        <f t="shared" ref="J25" si="24">+C25-H25</f>
        <v>0</v>
      </c>
      <c r="K25" s="229">
        <f t="shared" ref="K25" si="25">+J25/C25</f>
        <v>0</v>
      </c>
      <c r="L25" s="227">
        <f t="shared" ref="L25" si="26">+C25-D25</f>
        <v>126497633</v>
      </c>
      <c r="M25" s="229">
        <f t="shared" ref="M25" si="27">+L25/C25</f>
        <v>0.98235328880950534</v>
      </c>
      <c r="N25" s="227">
        <f t="shared" ref="N25" si="28">+C25-F25</f>
        <v>126497633</v>
      </c>
      <c r="O25" s="229">
        <f t="shared" ref="O25" si="29">+N25/C25</f>
        <v>0.98235328880950534</v>
      </c>
    </row>
    <row r="26" spans="1:15" x14ac:dyDescent="0.25">
      <c r="A26" s="226" t="str">
        <f>+'TD-EPA'!A23</f>
        <v>IMPUESTOS</v>
      </c>
      <c r="B26" s="227">
        <f>VLOOKUP(A26,'TD-EPA'!$A$5:$H$36,2,0)</f>
        <v>51500000</v>
      </c>
      <c r="C26" s="228">
        <f>VLOOKUP(A26,'TD-EPA'!$A$5:$H$36,3,0)</f>
        <v>51500000</v>
      </c>
      <c r="D26" s="228">
        <f>VLOOKUP(A26,'TD-EPA'!$A$5:$H$36,5,0)</f>
        <v>2319000</v>
      </c>
      <c r="E26" s="229">
        <f t="shared" ref="E26:E27" si="30">D26/C26</f>
        <v>4.502912621359223E-2</v>
      </c>
      <c r="F26" s="227">
        <f>VLOOKUP(A26,'TD-EPA'!$A$5:$H$36,6,0)</f>
        <v>2319000</v>
      </c>
      <c r="G26" s="229">
        <f t="shared" ref="G26:G27" si="31">+F26/C26</f>
        <v>4.502912621359223E-2</v>
      </c>
      <c r="H26" s="227">
        <f>VLOOKUP(A26,'TD-EPA'!$A$5:$H$36,4,0)</f>
        <v>2342000</v>
      </c>
      <c r="I26" s="227">
        <f>VLOOKUP(A26,'TD-EPA'!$A$5:$H$36,7,0)</f>
        <v>0</v>
      </c>
      <c r="J26" s="227">
        <f t="shared" ref="J26:J27" si="32">+C26-H26</f>
        <v>49158000</v>
      </c>
      <c r="K26" s="229">
        <f t="shared" ref="K26:K27" si="33">+J26/C26</f>
        <v>0.95452427184466015</v>
      </c>
      <c r="L26" s="227">
        <f t="shared" ref="L26:L27" si="34">+C26-D26</f>
        <v>49181000</v>
      </c>
      <c r="M26" s="229">
        <f t="shared" ref="M26:M27" si="35">+L26/C26</f>
        <v>0.95497087378640777</v>
      </c>
      <c r="N26" s="227">
        <f t="shared" ref="N26:N27" si="36">+C26-F26</f>
        <v>49181000</v>
      </c>
      <c r="O26" s="229">
        <f t="shared" ref="O26:O27" si="37">+N26/C26</f>
        <v>0.95497087378640777</v>
      </c>
    </row>
    <row r="27" spans="1:15" x14ac:dyDescent="0.25">
      <c r="A27" s="226" t="str">
        <f>+'TD-EPA'!A24</f>
        <v>CUOTA DE FISCALIZACIÓN Y AUDITAJE</v>
      </c>
      <c r="B27" s="227">
        <f>VLOOKUP(A27,'TD-EPA'!$A$5:$H$36,2,0)</f>
        <v>236758000</v>
      </c>
      <c r="C27" s="228">
        <f>VLOOKUP(A27,'TD-EPA'!$A$5:$H$36,3,0)</f>
        <v>236758000</v>
      </c>
      <c r="D27" s="228">
        <f>VLOOKUP(A27,'TD-EPA'!$A$5:$H$36,5,0)</f>
        <v>576292</v>
      </c>
      <c r="E27" s="229">
        <f t="shared" si="30"/>
        <v>2.4340972638728152E-3</v>
      </c>
      <c r="F27" s="227">
        <f>VLOOKUP(A27,'TD-EPA'!$A$5:$H$36,6,0)</f>
        <v>576292</v>
      </c>
      <c r="G27" s="229">
        <f t="shared" si="31"/>
        <v>2.4340972638728152E-3</v>
      </c>
      <c r="H27" s="227">
        <f>VLOOKUP(A27,'TD-EPA'!$A$5:$H$36,4,0)</f>
        <v>581561.67000000004</v>
      </c>
      <c r="I27" s="227">
        <f>VLOOKUP(A27,'TD-EPA'!$A$5:$H$36,7,0)</f>
        <v>0</v>
      </c>
      <c r="J27" s="227">
        <f t="shared" si="32"/>
        <v>236176438.33000001</v>
      </c>
      <c r="K27" s="229">
        <f t="shared" si="33"/>
        <v>0.99754364511442073</v>
      </c>
      <c r="L27" s="227">
        <f t="shared" si="34"/>
        <v>236181708</v>
      </c>
      <c r="M27" s="229">
        <f t="shared" si="35"/>
        <v>0.99756590273612722</v>
      </c>
      <c r="N27" s="227">
        <f t="shared" si="36"/>
        <v>236181708</v>
      </c>
      <c r="O27" s="229">
        <f t="shared" si="37"/>
        <v>0.99756590273612722</v>
      </c>
    </row>
    <row r="28" spans="1:15" s="104" customFormat="1" ht="15.75" customHeight="1" x14ac:dyDescent="0.25">
      <c r="A28" s="220" t="s">
        <v>109</v>
      </c>
      <c r="B28" s="221">
        <f>SUM(B29:B41)</f>
        <v>161536218750</v>
      </c>
      <c r="C28" s="221">
        <f>SUM(C29:C41)</f>
        <v>165336840329</v>
      </c>
      <c r="D28" s="221">
        <f>SUM(D29:D41)</f>
        <v>87167456910.880005</v>
      </c>
      <c r="E28" s="222">
        <f t="shared" si="5"/>
        <v>0.52721133860685543</v>
      </c>
      <c r="F28" s="221">
        <f>SUM(F29:F41)</f>
        <v>11310892326.9</v>
      </c>
      <c r="G28" s="222">
        <f>+F28/C28</f>
        <v>6.8411204087320848E-2</v>
      </c>
      <c r="H28" s="221">
        <f>SUM(H29:H41)</f>
        <v>112406761655.11</v>
      </c>
      <c r="I28" s="221">
        <f>SUM(I29:I41)</f>
        <v>11296739532.9</v>
      </c>
      <c r="J28" s="221">
        <f>SUM(J29:J41)</f>
        <v>52930078673.889999</v>
      </c>
      <c r="K28" s="222">
        <f>+J28/C28</f>
        <v>0.32013481428921498</v>
      </c>
      <c r="L28" s="221">
        <f>SUM(L29:L41)</f>
        <v>78169383418.119995</v>
      </c>
      <c r="M28" s="222">
        <f>+L28/C28</f>
        <v>0.47278866139314457</v>
      </c>
      <c r="N28" s="221">
        <f>SUM(N29:N41)</f>
        <v>154025948002.10001</v>
      </c>
      <c r="O28" s="222">
        <f t="shared" si="11"/>
        <v>0.93158879591267918</v>
      </c>
    </row>
    <row r="29" spans="1:15" ht="57" x14ac:dyDescent="0.25">
      <c r="A29" s="226" t="str">
        <f>+'TD-EPA'!A27</f>
        <v>INCREMENTO DE LA COBERTURA DE LOS SERVICIOS DE LA RED NACIONAL DE PROTECCIÓN AL CONSUMIDOR EN EL TERRITORIO  NACIONAL</v>
      </c>
      <c r="B29" s="227">
        <f>VLOOKUP(A29,'TD-EPA'!$A$5:$H$38,2,0)</f>
        <v>39427254112</v>
      </c>
      <c r="C29" s="228">
        <f>VLOOKUP(A29,'TD-EPA'!$A$5:$H$38,3,0)</f>
        <v>39427254112</v>
      </c>
      <c r="D29" s="228">
        <f>VLOOKUP(A29,'TD-EPA'!$A$5:$H$38,5,0)</f>
        <v>21064185862</v>
      </c>
      <c r="E29" s="229">
        <f t="shared" si="5"/>
        <v>0.53425444749876572</v>
      </c>
      <c r="F29" s="227">
        <f>VLOOKUP(A29,'TD-EPA'!$A$5:$H$38,6,0)</f>
        <v>3042809110.3299999</v>
      </c>
      <c r="G29" s="229">
        <f t="shared" si="6"/>
        <v>7.7175273268748804E-2</v>
      </c>
      <c r="H29" s="227">
        <f>VLOOKUP(A29,'TD-EPA'!$A$5:$H$38,4,0)</f>
        <v>31416597801</v>
      </c>
      <c r="I29" s="227">
        <f>VLOOKUP(A29,'TD-EPA'!$A$5:$H$36,7,0)</f>
        <v>3032052870.3299999</v>
      </c>
      <c r="J29" s="227">
        <f t="shared" si="7"/>
        <v>8010656311</v>
      </c>
      <c r="K29" s="229">
        <f t="shared" si="8"/>
        <v>0.20317560762015868</v>
      </c>
      <c r="L29" s="227">
        <f t="shared" si="9"/>
        <v>18363068250</v>
      </c>
      <c r="M29" s="229">
        <f t="shared" si="12"/>
        <v>0.46574555250123423</v>
      </c>
      <c r="N29" s="227">
        <f t="shared" si="10"/>
        <v>36384445001.669998</v>
      </c>
      <c r="O29" s="229">
        <f t="shared" si="11"/>
        <v>0.92282472673125115</v>
      </c>
    </row>
    <row r="30" spans="1:15" ht="57" x14ac:dyDescent="0.25">
      <c r="A30" s="226" t="str">
        <f>+'TD-EPA'!A28</f>
        <v>MEJORAMIENTO DEL CONTROL Y VIGILANCIA A LAS CÁMARAS DE COMERCIO Y COMERCIANTES A NIVEL  NACIONAL</v>
      </c>
      <c r="B30" s="227">
        <f>VLOOKUP(A30,'TD-EPA'!$A$5:$H$38,2,0)</f>
        <v>909785125</v>
      </c>
      <c r="C30" s="228">
        <f>VLOOKUP(A30,'TD-EPA'!$A$5:$H$38,3,0)</f>
        <v>909785125</v>
      </c>
      <c r="D30" s="228">
        <f>VLOOKUP(A30,'TD-EPA'!$A$5:$H$38,5,0)</f>
        <v>754160996</v>
      </c>
      <c r="E30" s="229">
        <f t="shared" si="5"/>
        <v>0.82894408281296095</v>
      </c>
      <c r="F30" s="227">
        <f>VLOOKUP(A30,'TD-EPA'!$A$5:$H$38,6,0)</f>
        <v>168270674</v>
      </c>
      <c r="G30" s="229">
        <f t="shared" si="6"/>
        <v>0.18495650167944877</v>
      </c>
      <c r="H30" s="227">
        <f>VLOOKUP(A30,'TD-EPA'!$A$5:$H$38,4,0)</f>
        <v>901971120</v>
      </c>
      <c r="I30" s="227">
        <f>VLOOKUP(A30,'TD-EPA'!$A$5:$H$36,7,0)</f>
        <v>168270674</v>
      </c>
      <c r="J30" s="227">
        <f t="shared" si="7"/>
        <v>7814005</v>
      </c>
      <c r="K30" s="229">
        <f t="shared" si="8"/>
        <v>8.588846734551743E-3</v>
      </c>
      <c r="L30" s="227">
        <f t="shared" si="9"/>
        <v>155624129</v>
      </c>
      <c r="M30" s="229">
        <f t="shared" si="12"/>
        <v>0.17105591718703908</v>
      </c>
      <c r="N30" s="227">
        <f t="shared" si="10"/>
        <v>741514451</v>
      </c>
      <c r="O30" s="229">
        <f t="shared" si="11"/>
        <v>0.81504349832055123</v>
      </c>
    </row>
    <row r="31" spans="1:15" ht="57" x14ac:dyDescent="0.25">
      <c r="A31" s="226" t="str">
        <f>+'TD-EPA'!A29</f>
        <v>FORTALECIMIENTO DE LA FUNCIÓN JURISDICCIONAL DE LA SUPERINTENDENCIA DE INDUSTRIA Y COMERCIO A NIVEL  NACIONAL</v>
      </c>
      <c r="B31" s="227">
        <f>VLOOKUP(A31,'TD-EPA'!$A$5:$H$38,2,0)</f>
        <v>3601793401</v>
      </c>
      <c r="C31" s="228">
        <f>VLOOKUP(A31,'TD-EPA'!$A$5:$H$38,3,0)</f>
        <v>3601793401</v>
      </c>
      <c r="D31" s="228">
        <f>VLOOKUP(A31,'TD-EPA'!$A$5:$H$38,5,0)</f>
        <v>2178726688</v>
      </c>
      <c r="E31" s="229">
        <f t="shared" si="5"/>
        <v>0.60490051633586184</v>
      </c>
      <c r="F31" s="227">
        <f>VLOOKUP(A31,'TD-EPA'!$A$5:$H$38,6,0)</f>
        <v>685881531</v>
      </c>
      <c r="G31" s="229">
        <f t="shared" si="6"/>
        <v>0.19042778267336827</v>
      </c>
      <c r="H31" s="227">
        <f>VLOOKUP(A31,'TD-EPA'!$A$5:$H$38,4,0)</f>
        <v>3538856637</v>
      </c>
      <c r="I31" s="227">
        <f>VLOOKUP(A31,'TD-EPA'!$A$5:$H$36,7,0)</f>
        <v>685881531</v>
      </c>
      <c r="J31" s="227">
        <f t="shared" si="7"/>
        <v>62936764</v>
      </c>
      <c r="K31" s="229">
        <f t="shared" si="8"/>
        <v>1.7473729609956603E-2</v>
      </c>
      <c r="L31" s="227">
        <f t="shared" si="9"/>
        <v>1423066713</v>
      </c>
      <c r="M31" s="229">
        <f t="shared" si="12"/>
        <v>0.39509948366413811</v>
      </c>
      <c r="N31" s="227">
        <f t="shared" si="10"/>
        <v>2915911870</v>
      </c>
      <c r="O31" s="229">
        <f t="shared" si="11"/>
        <v>0.80957221732663176</v>
      </c>
    </row>
    <row r="32" spans="1:15" ht="42.75" x14ac:dyDescent="0.25">
      <c r="A32" s="226" t="str">
        <f>+'TD-EPA'!A30</f>
        <v>FORTALECIMIENTO DE LA PROTECCIÓN DE DATOS PERSONALES A NIVEL  NACIONAL</v>
      </c>
      <c r="B32" s="227">
        <f>VLOOKUP(A32,'TD-EPA'!$A$5:$H$38,2,0)</f>
        <v>2591894878</v>
      </c>
      <c r="C32" s="228">
        <f>VLOOKUP(A32,'TD-EPA'!$A$5:$H$38,3,0)</f>
        <v>2591894878</v>
      </c>
      <c r="D32" s="228">
        <f>VLOOKUP(A32,'TD-EPA'!$A$5:$H$38,5,0)</f>
        <v>2393287961</v>
      </c>
      <c r="E32" s="229">
        <f t="shared" si="5"/>
        <v>0.92337385335887834</v>
      </c>
      <c r="F32" s="227">
        <f>VLOOKUP(A32,'TD-EPA'!$A$5:$H$38,6,0)</f>
        <v>489872044</v>
      </c>
      <c r="G32" s="229">
        <f t="shared" si="6"/>
        <v>0.18900150934284921</v>
      </c>
      <c r="H32" s="227">
        <f>VLOOKUP(A32,'TD-EPA'!$A$5:$H$38,4,0)</f>
        <v>2521525922</v>
      </c>
      <c r="I32" s="227">
        <f>VLOOKUP(A32,'TD-EPA'!$A$5:$H$38,7,0)</f>
        <v>489872044</v>
      </c>
      <c r="J32" s="227">
        <f t="shared" si="7"/>
        <v>70368956</v>
      </c>
      <c r="K32" s="229">
        <f t="shared" si="8"/>
        <v>2.7149618064101131E-2</v>
      </c>
      <c r="L32" s="227">
        <f t="shared" si="9"/>
        <v>198606917</v>
      </c>
      <c r="M32" s="229">
        <f t="shared" si="12"/>
        <v>7.6626146641121606E-2</v>
      </c>
      <c r="N32" s="227">
        <f t="shared" si="10"/>
        <v>2102022834</v>
      </c>
      <c r="O32" s="229">
        <f t="shared" si="11"/>
        <v>0.81099849065715079</v>
      </c>
    </row>
    <row r="33" spans="1:15" ht="57" x14ac:dyDescent="0.25">
      <c r="A33" s="226" t="str">
        <f>+'TD-EPA'!A31</f>
        <v>FORTALECIMIENTO DEL RÉGIMEN DE PROTECCIÓN DE LA LIBRE COMPETENCIA ECONÓMICA EN LOS MERCADOS A NIVEL  NACIONAL</v>
      </c>
      <c r="B33" s="227">
        <f>VLOOKUP(A33,'TD-EPA'!$A$5:$H$38,2,0)</f>
        <v>8032499000</v>
      </c>
      <c r="C33" s="228">
        <f>VLOOKUP(A33,'TD-EPA'!$A$5:$H$38,3,0)</f>
        <v>8032499000</v>
      </c>
      <c r="D33" s="228">
        <f>VLOOKUP(A33,'TD-EPA'!$A$5:$H$38,5,0)</f>
        <v>6692352563</v>
      </c>
      <c r="E33" s="229">
        <f t="shared" si="5"/>
        <v>0.83315946419663423</v>
      </c>
      <c r="F33" s="227">
        <f>VLOOKUP(A33,'TD-EPA'!$A$5:$H$38,6,0)</f>
        <v>1346823614</v>
      </c>
      <c r="G33" s="229">
        <f t="shared" si="6"/>
        <v>0.16767180599711248</v>
      </c>
      <c r="H33" s="227">
        <f>VLOOKUP(A33,'TD-EPA'!$A$5:$H$38,4,0)</f>
        <v>7921695460</v>
      </c>
      <c r="I33" s="227">
        <f>VLOOKUP(A33,'TD-EPA'!$A$5:$H$36,7,0)</f>
        <v>1345926646</v>
      </c>
      <c r="J33" s="227">
        <f t="shared" si="7"/>
        <v>110803540</v>
      </c>
      <c r="K33" s="229">
        <f t="shared" si="8"/>
        <v>1.3794404456197255E-2</v>
      </c>
      <c r="L33" s="227">
        <f t="shared" si="9"/>
        <v>1340146437</v>
      </c>
      <c r="M33" s="229">
        <f t="shared" si="12"/>
        <v>0.1668405358033658</v>
      </c>
      <c r="N33" s="227">
        <f t="shared" si="10"/>
        <v>6685675386</v>
      </c>
      <c r="O33" s="229">
        <f t="shared" si="11"/>
        <v>0.83232819400288749</v>
      </c>
    </row>
    <row r="34" spans="1:15" ht="71.25" x14ac:dyDescent="0.25">
      <c r="A34" s="226" t="str">
        <f>+'TD-EPA'!A32</f>
        <v>FORTALECIMIENTO DE LA ATENCIÓN Y PROMOCIÓN DE TRÁMITES Y SERVICIOS EN EL MARCO DEL SISTEMA DE PROPIEDAD INDUSTRIAL A NIVEL  NACIONAL</v>
      </c>
      <c r="B34" s="227">
        <f>VLOOKUP(A34,'TD-EPA'!$A$5:$H$38,2,0)</f>
        <v>8791562000</v>
      </c>
      <c r="C34" s="228">
        <f>VLOOKUP(A34,'TD-EPA'!$A$5:$H$38,3,0)</f>
        <v>8791562000</v>
      </c>
      <c r="D34" s="228">
        <f>VLOOKUP(A34,'TD-EPA'!$A$5:$H$38,5,0)</f>
        <v>6713861204</v>
      </c>
      <c r="E34" s="229">
        <f t="shared" si="5"/>
        <v>0.76367102956220978</v>
      </c>
      <c r="F34" s="227">
        <f>VLOOKUP(A34,'TD-EPA'!$A$5:$H$38,6,0)</f>
        <v>925935189</v>
      </c>
      <c r="G34" s="229">
        <f t="shared" si="6"/>
        <v>0.10532089621844218</v>
      </c>
      <c r="H34" s="227">
        <f>VLOOKUP(A34,'TD-EPA'!$A$5:$H$38,4,0)</f>
        <v>7153168947</v>
      </c>
      <c r="I34" s="227">
        <f>VLOOKUP(A34,'TD-EPA'!$A$5:$H$36,7,0)</f>
        <v>925935189</v>
      </c>
      <c r="J34" s="227">
        <f t="shared" si="7"/>
        <v>1638393053</v>
      </c>
      <c r="K34" s="229">
        <f t="shared" si="8"/>
        <v>0.18635972231100684</v>
      </c>
      <c r="L34" s="227">
        <f t="shared" si="9"/>
        <v>2077700796</v>
      </c>
      <c r="M34" s="229">
        <f t="shared" si="12"/>
        <v>0.23632897043779025</v>
      </c>
      <c r="N34" s="227">
        <f t="shared" si="10"/>
        <v>7865626811</v>
      </c>
      <c r="O34" s="229">
        <f t="shared" si="11"/>
        <v>0.89467910378155779</v>
      </c>
    </row>
    <row r="35" spans="1:15" ht="57" x14ac:dyDescent="0.25">
      <c r="A35" s="226" t="str">
        <f>+'TD-EPA'!A33</f>
        <v>MEJORAMIENTO EN LA EJECUCIÓN DE LAS FUNCIONES ASIGNADAS EN MATERIA DE PROTECCIÓN AL CONSUMIDOR A NIVEL  NACIONAL</v>
      </c>
      <c r="B35" s="227">
        <f>VLOOKUP(A35,'TD-EPA'!$A$5:$H$38,2,0)</f>
        <v>5305076993</v>
      </c>
      <c r="C35" s="228">
        <f>VLOOKUP(A35,'TD-EPA'!$A$5:$H$38,3,0)</f>
        <v>9105698572</v>
      </c>
      <c r="D35" s="228">
        <f>VLOOKUP(A35,'TD-EPA'!$A$5:$H$38,5,0)</f>
        <v>5867635676</v>
      </c>
      <c r="E35" s="229">
        <f t="shared" si="5"/>
        <v>0.6443916004471052</v>
      </c>
      <c r="F35" s="227">
        <f>VLOOKUP(A35,'TD-EPA'!$A$5:$H$38,6,0)</f>
        <v>649237616</v>
      </c>
      <c r="G35" s="229">
        <f t="shared" si="6"/>
        <v>7.1300143626146825E-2</v>
      </c>
      <c r="H35" s="227">
        <f>VLOOKUP(A35,'TD-EPA'!$A$5:$H$38,4,0)</f>
        <v>7581418064</v>
      </c>
      <c r="I35" s="227">
        <f>VLOOKUP(A35,'TD-EPA'!$A$5:$H$36,7,0)</f>
        <v>649237616</v>
      </c>
      <c r="J35" s="227">
        <f t="shared" si="7"/>
        <v>1524280508</v>
      </c>
      <c r="K35" s="229">
        <f t="shared" si="8"/>
        <v>0.1673985247751511</v>
      </c>
      <c r="L35" s="227">
        <f t="shared" si="9"/>
        <v>3238062896</v>
      </c>
      <c r="M35" s="229">
        <f t="shared" si="12"/>
        <v>0.35560839955289486</v>
      </c>
      <c r="N35" s="227">
        <f t="shared" si="10"/>
        <v>8456460956</v>
      </c>
      <c r="O35" s="229">
        <f t="shared" si="11"/>
        <v>0.92869985637385322</v>
      </c>
    </row>
    <row r="36" spans="1:15" ht="99.75" x14ac:dyDescent="0.25">
      <c r="A36" s="226" t="str">
        <f>+'TD-EPA'!A34</f>
        <v>FORTALECIMIENTO DE LA FUNCIÓN DE INSPECCIÓN, CONTROL Y VIGILANCIA DE LA SUPERINTENDENCIA DE INDUSTRIA Y COMERCIO EN EL MARCO DEL SUBSISTEMA NACIONAL DE CALIDAD, EL RÉGIMEN DE CONTROL DE PRECIOS Y EL SECTOR VALUATORIO A NIVEL  NACIONAL</v>
      </c>
      <c r="B36" s="227">
        <f>VLOOKUP(A36,'TD-EPA'!$A$5:$H$38,2,0)</f>
        <v>4769339865</v>
      </c>
      <c r="C36" s="228">
        <f>VLOOKUP(A36,'TD-EPA'!$A$5:$H$38,3,0)</f>
        <v>4769339865</v>
      </c>
      <c r="D36" s="228">
        <f>VLOOKUP(A36,'TD-EPA'!$A$5:$H$38,5,0)</f>
        <v>4044062650</v>
      </c>
      <c r="E36" s="229">
        <f t="shared" si="5"/>
        <v>0.84792922384867619</v>
      </c>
      <c r="F36" s="227">
        <f>VLOOKUP(A36,'TD-EPA'!$A$5:$H$38,6,0)</f>
        <v>892301713</v>
      </c>
      <c r="G36" s="229">
        <f t="shared" si="6"/>
        <v>0.1870912407706973</v>
      </c>
      <c r="H36" s="227">
        <f>VLOOKUP(A36,'TD-EPA'!$A$5:$H$38,4,0)</f>
        <v>4536529166</v>
      </c>
      <c r="I36" s="227">
        <f>VLOOKUP(A36,'TD-EPA'!$A$5:$H$36,7,0)</f>
        <v>892301713</v>
      </c>
      <c r="J36" s="227">
        <f t="shared" si="7"/>
        <v>232810699</v>
      </c>
      <c r="K36" s="229">
        <f t="shared" si="8"/>
        <v>4.8814029947517698E-2</v>
      </c>
      <c r="L36" s="227">
        <f t="shared" si="9"/>
        <v>725277215</v>
      </c>
      <c r="M36" s="229">
        <f t="shared" si="12"/>
        <v>0.15207077615132383</v>
      </c>
      <c r="N36" s="227">
        <f t="shared" si="10"/>
        <v>3877038152</v>
      </c>
      <c r="O36" s="229">
        <f t="shared" si="11"/>
        <v>0.81290875922930272</v>
      </c>
    </row>
    <row r="37" spans="1:15" ht="57" x14ac:dyDescent="0.25">
      <c r="A37" s="226" t="str">
        <f>+'TD-EPA'!A36</f>
        <v>IMPLEMENTACIÓN DE UNA SOLUCIÓN INMOBILIARIA PARA LA SUPERINTENDENCIA DE INDUSTRIA Y COMERCIO EN  BOGOTÁ</v>
      </c>
      <c r="B37" s="227">
        <f>VLOOKUP(A37,'TD-EPA'!$A$5:$H$38,2,0)</f>
        <v>30262520191</v>
      </c>
      <c r="C37" s="228">
        <f>VLOOKUP(A37,'TD-EPA'!$A$5:$H$38,3,0)</f>
        <v>30262520191</v>
      </c>
      <c r="D37" s="228">
        <f>VLOOKUP(A37,'TD-EPA'!$A$5:$H$38,5,0)</f>
        <v>0</v>
      </c>
      <c r="E37" s="229">
        <f t="shared" si="5"/>
        <v>0</v>
      </c>
      <c r="F37" s="227">
        <f>VLOOKUP(A37,'TD-EPA'!$A$5:$H$38,6,0)</f>
        <v>0</v>
      </c>
      <c r="G37" s="229">
        <f t="shared" si="6"/>
        <v>0</v>
      </c>
      <c r="H37" s="227">
        <f>VLOOKUP(A37,'TD-EPA'!$A$5:$H$38,4,0)</f>
        <v>0</v>
      </c>
      <c r="I37" s="227">
        <f>VLOOKUP(A37,'TD-EPA'!$A$5:$H$36,7,0)</f>
        <v>0</v>
      </c>
      <c r="J37" s="227">
        <f t="shared" si="7"/>
        <v>30262520191</v>
      </c>
      <c r="K37" s="229">
        <f t="shared" si="8"/>
        <v>1</v>
      </c>
      <c r="L37" s="227">
        <f t="shared" si="9"/>
        <v>30262520191</v>
      </c>
      <c r="M37" s="229">
        <f t="shared" si="12"/>
        <v>1</v>
      </c>
      <c r="N37" s="227">
        <f t="shared" si="10"/>
        <v>30262520191</v>
      </c>
      <c r="O37" s="229">
        <f t="shared" si="11"/>
        <v>1</v>
      </c>
    </row>
    <row r="38" spans="1:15" ht="57" x14ac:dyDescent="0.25">
      <c r="A38" s="226" t="str">
        <f>+'TD-EPA'!A37</f>
        <v>FORTALECIMIENTO DEL SISTEMA DE ATENCIÓN AL CIUDADANO DE LA SUPERINTENDENCIA DE INDUSTRIA Y COMERCIO A NIVEL  NACIONAL</v>
      </c>
      <c r="B38" s="227">
        <f>VLOOKUP(A38,'TD-EPA'!$A$5:$H$38,2,0)</f>
        <v>28050706799</v>
      </c>
      <c r="C38" s="228">
        <f>VLOOKUP(A38,'TD-EPA'!$A$5:$H$38,3,0)</f>
        <v>28050706799</v>
      </c>
      <c r="D38" s="228">
        <f>VLOOKUP(A38,'TD-EPA'!$A$5:$H$38,5,0)</f>
        <v>21167590218.599998</v>
      </c>
      <c r="E38" s="229">
        <f t="shared" si="5"/>
        <v>0.75461878270228178</v>
      </c>
      <c r="F38" s="227">
        <f>VLOOKUP(A38,'TD-EPA'!$A$5:$H$38,6,0)</f>
        <v>1918475254.5700002</v>
      </c>
      <c r="G38" s="229">
        <f t="shared" si="6"/>
        <v>6.8393116377316862E-2</v>
      </c>
      <c r="H38" s="227">
        <f>VLOOKUP(A38,'TD-EPA'!$A$5:$H$38,4,0)</f>
        <v>24585345952.799999</v>
      </c>
      <c r="I38" s="227">
        <f>VLOOKUP(A38,'TD-EPA'!$A$5:$H$40,7,0)</f>
        <v>1917375668.5700002</v>
      </c>
      <c r="J38" s="227">
        <f t="shared" si="7"/>
        <v>3465360846.2000008</v>
      </c>
      <c r="K38" s="229">
        <f t="shared" si="8"/>
        <v>0.12353916323860831</v>
      </c>
      <c r="L38" s="227">
        <f t="shared" si="9"/>
        <v>6883116580.4000015</v>
      </c>
      <c r="M38" s="229">
        <f t="shared" si="12"/>
        <v>0.24538121729771825</v>
      </c>
      <c r="N38" s="227">
        <f t="shared" si="10"/>
        <v>26132231544.43</v>
      </c>
      <c r="O38" s="229">
        <f t="shared" si="11"/>
        <v>0.93160688362268318</v>
      </c>
    </row>
    <row r="39" spans="1:15" ht="85.5" x14ac:dyDescent="0.25">
      <c r="A39" s="226" t="str">
        <f>+'TD-EPA'!A38</f>
        <v>MEJORAMIENTO DE LOS SISTEMAS DE INFORMACIÓN Y SERVICIOS TECNOLÓGICOS DE LA SUPERINTENDENCIA DE INDUSTRIA Y COMERCIO EN EL TERRITORIO  NACIONAL</v>
      </c>
      <c r="B39" s="227">
        <f>VLOOKUP(A39,'TD-EPA'!$A$5:$H$38,2,0)</f>
        <v>25661863246</v>
      </c>
      <c r="C39" s="228">
        <f>VLOOKUP(A39,'TD-EPA'!$A$5:$H$38,3,0)</f>
        <v>25661863246</v>
      </c>
      <c r="D39" s="228">
        <f>VLOOKUP(A39,'TD-EPA'!$A$5:$H$38,5,0)</f>
        <v>13844756151.280001</v>
      </c>
      <c r="E39" s="229">
        <f t="shared" si="5"/>
        <v>0.53950705054271653</v>
      </c>
      <c r="F39" s="227">
        <f>VLOOKUP(A39,'TD-EPA'!$A$5:$H$38,6,0)</f>
        <v>808468437</v>
      </c>
      <c r="G39" s="229">
        <f t="shared" si="6"/>
        <v>3.1504666253180921E-2</v>
      </c>
      <c r="H39" s="227">
        <f>VLOOKUP(A39,'TD-EPA'!$A$5:$H$38,4,0)</f>
        <v>18767562461.310001</v>
      </c>
      <c r="I39" s="227">
        <f>VLOOKUP(A39,'TD-EPA'!$A$5:$H$38,7,0)</f>
        <v>808468437</v>
      </c>
      <c r="J39" s="227">
        <f t="shared" si="7"/>
        <v>6894300784.6899986</v>
      </c>
      <c r="K39" s="229">
        <f t="shared" si="8"/>
        <v>0.26865940008329819</v>
      </c>
      <c r="L39" s="227">
        <f t="shared" si="9"/>
        <v>11817107094.719999</v>
      </c>
      <c r="M39" s="229">
        <f t="shared" si="12"/>
        <v>0.46049294945728353</v>
      </c>
      <c r="N39" s="227">
        <f t="shared" si="10"/>
        <v>24853394809</v>
      </c>
      <c r="O39" s="229">
        <f t="shared" si="11"/>
        <v>0.96849533374681906</v>
      </c>
    </row>
    <row r="40" spans="1:15" ht="57" x14ac:dyDescent="0.25">
      <c r="A40" s="226" t="str">
        <f>+'TD-EPA'!A39</f>
        <v>MEJORAMIENTO DE LA INFRAESTRUCTURA FÍSICA DE LA SEDE DE LA SUPERINTENDENCIA DE INDUSTRIA Y COMERCIO EN  BOGOTÁ</v>
      </c>
      <c r="B40" s="227">
        <f>VLOOKUP(A40,'TD-EPA'!$A$5:$H$40,2,0)</f>
        <v>773529015</v>
      </c>
      <c r="C40" s="228">
        <f>VLOOKUP(A40,'TD-EPA'!$A$5:$H$40,3,0)</f>
        <v>773529015</v>
      </c>
      <c r="D40" s="228">
        <f>VLOOKUP(A40,'TD-EPA'!$A$5:$H$40,5,0)</f>
        <v>1799900</v>
      </c>
      <c r="E40" s="229">
        <f t="shared" ref="E40" si="38">D40/C40</f>
        <v>2.3268681136673327E-3</v>
      </c>
      <c r="F40" s="227">
        <f>VLOOKUP(A40,'TD-EPA'!$A$5:$H$40,6,0)</f>
        <v>0</v>
      </c>
      <c r="G40" s="229">
        <f t="shared" ref="G40" si="39">+F40/C40</f>
        <v>0</v>
      </c>
      <c r="H40" s="227">
        <f>VLOOKUP(A40,'TD-EPA'!$A$5:$H$40,4,0)</f>
        <v>686558986</v>
      </c>
      <c r="I40" s="227">
        <f>VLOOKUP(A40,'TD-EPA'!$A$5:$H$40,7,0)</f>
        <v>0</v>
      </c>
      <c r="J40" s="227">
        <f t="shared" ref="J40" si="40">+C40-H40</f>
        <v>86970029</v>
      </c>
      <c r="K40" s="229">
        <f t="shared" ref="K40" si="41">+J40/C40</f>
        <v>0.11243279478016736</v>
      </c>
      <c r="L40" s="227">
        <f t="shared" ref="L40" si="42">+C40-D40</f>
        <v>771729115</v>
      </c>
      <c r="M40" s="229">
        <f t="shared" ref="M40" si="43">+L40/C40</f>
        <v>0.99767313188633266</v>
      </c>
      <c r="N40" s="227">
        <f t="shared" ref="N40" si="44">+C40-F40</f>
        <v>773529015</v>
      </c>
      <c r="O40" s="229">
        <f t="shared" ref="O40" si="45">+N40/C40</f>
        <v>1</v>
      </c>
    </row>
    <row r="41" spans="1:15" ht="57" x14ac:dyDescent="0.25">
      <c r="A41" s="226" t="str">
        <f>+'TD-EPA'!A40</f>
        <v>MEJORAMIENTO EN LA CALIDAD DE LA GESTIÓN ESTRATÉGICA DE LA SUPERINTENDENCIA DE INDUSTRIA Y COMERCIO A NIVEL  NACIONAL</v>
      </c>
      <c r="B41" s="227">
        <f>VLOOKUP(A41,'TD-EPA'!$A$5:$H$40,2,0)</f>
        <v>3358394125</v>
      </c>
      <c r="C41" s="228">
        <f>VLOOKUP(A41,'TD-EPA'!$A$5:$H$40,3,0)</f>
        <v>3358394125</v>
      </c>
      <c r="D41" s="228">
        <f>VLOOKUP(A41,'TD-EPA'!$A$5:$H$40,5,0)</f>
        <v>2445037041</v>
      </c>
      <c r="E41" s="229">
        <f t="shared" ref="E41" si="46">D41/C41</f>
        <v>0.72803755306712248</v>
      </c>
      <c r="F41" s="227">
        <f>VLOOKUP(A41,'TD-EPA'!$A$5:$H$40,6,0)</f>
        <v>382817144</v>
      </c>
      <c r="G41" s="229">
        <f t="shared" ref="G41" si="47">+F41/C41</f>
        <v>0.11398815319211529</v>
      </c>
      <c r="H41" s="227">
        <f>VLOOKUP(A41,'TD-EPA'!$A$5:$H$40,4,0)</f>
        <v>2795531138</v>
      </c>
      <c r="I41" s="227">
        <f>VLOOKUP(A41,'TD-EPA'!$A$5:$H$40,7,0)</f>
        <v>381417144</v>
      </c>
      <c r="J41" s="227">
        <f t="shared" ref="J41" si="48">+C41-H41</f>
        <v>562862987</v>
      </c>
      <c r="K41" s="229">
        <f t="shared" ref="K41" si="49">+J41/C41</f>
        <v>0.16759884815484544</v>
      </c>
      <c r="L41" s="227">
        <f t="shared" ref="L41" si="50">+C41-D41</f>
        <v>913357084</v>
      </c>
      <c r="M41" s="229">
        <f t="shared" ref="M41" si="51">+L41/C41</f>
        <v>0.27196244693287747</v>
      </c>
      <c r="N41" s="227">
        <f t="shared" ref="N41" si="52">+C41-F41</f>
        <v>2975576981</v>
      </c>
      <c r="O41" s="229">
        <f t="shared" ref="O41" si="53">+N41/C41</f>
        <v>0.8860118468078847</v>
      </c>
    </row>
    <row r="42" spans="1:15" s="104" customFormat="1" ht="15.75" x14ac:dyDescent="0.25">
      <c r="A42" s="230" t="s">
        <v>60</v>
      </c>
      <c r="B42" s="231">
        <f>B8+B28</f>
        <v>240291898618</v>
      </c>
      <c r="C42" s="231">
        <f>C8+C28</f>
        <v>244092520197</v>
      </c>
      <c r="D42" s="231">
        <f>D8+D28</f>
        <v>112671378181.42999</v>
      </c>
      <c r="E42" s="222">
        <f t="shared" si="5"/>
        <v>0.46159291604059061</v>
      </c>
      <c r="F42" s="231">
        <f>F8+F28</f>
        <v>29496767894.889999</v>
      </c>
      <c r="G42" s="222">
        <f t="shared" si="6"/>
        <v>0.12084257178828754</v>
      </c>
      <c r="H42" s="231">
        <f>H8+H28</f>
        <v>182187880801.78</v>
      </c>
      <c r="I42" s="231">
        <f>I8+I28</f>
        <v>29400105044.889999</v>
      </c>
      <c r="J42" s="231">
        <f>J8+J28</f>
        <v>61904639395.220001</v>
      </c>
      <c r="K42" s="222">
        <f t="shared" si="8"/>
        <v>0.25361137385634991</v>
      </c>
      <c r="L42" s="231">
        <f>L8+L28</f>
        <v>131421142015.57001</v>
      </c>
      <c r="M42" s="222">
        <f t="shared" si="12"/>
        <v>0.53840708395940939</v>
      </c>
      <c r="N42" s="231">
        <f>N8+N28</f>
        <v>214595752302.10999</v>
      </c>
      <c r="O42" s="222">
        <f t="shared" si="11"/>
        <v>0.87915742821171239</v>
      </c>
    </row>
    <row r="43" spans="1:15" s="105" customFormat="1" x14ac:dyDescent="0.25">
      <c r="B43" s="106">
        <f>B42-[1]REP_EPG034_EjecucionPresupuesta!P32</f>
        <v>99797015618</v>
      </c>
      <c r="C43" s="107">
        <f>C42-[1]REP_EPG034_EjecucionPresupuesta!S32</f>
        <v>103597637197</v>
      </c>
      <c r="D43" s="107">
        <f>D42-[1]REP_EPG034_EjecucionPresupuesta!W32</f>
        <v>59987662986.87999</v>
      </c>
      <c r="E43" s="108">
        <f>D42/C42</f>
        <v>0.46159291604059061</v>
      </c>
      <c r="F43" s="106">
        <f>F42-[1]REP_EPG034_EjecucionPresupuesta!X32</f>
        <v>24575517655.689999</v>
      </c>
      <c r="G43" s="108">
        <f>F42/C42</f>
        <v>0.12084257178828754</v>
      </c>
      <c r="H43" s="106">
        <f>H42-[1]REP_EPG034_EjecucionPresupuesta!U32</f>
        <v>73176327367.699997</v>
      </c>
      <c r="I43" s="106">
        <f>I42-[1]REP_EPG034_EjecucionPresupuesta!Z32</f>
        <v>25127732003.43</v>
      </c>
      <c r="J43" s="106">
        <f>C42-(H42+J42)</f>
        <v>0</v>
      </c>
      <c r="K43" s="108">
        <f>J42/C42</f>
        <v>0.25361137385634991</v>
      </c>
      <c r="L43" s="106">
        <f>C42-(D42+L42)</f>
        <v>0</v>
      </c>
      <c r="M43" s="108">
        <f>L42/C42</f>
        <v>0.53840708395940939</v>
      </c>
      <c r="N43" s="106">
        <f>C42-(F42+N42)</f>
        <v>0</v>
      </c>
      <c r="O43" s="108">
        <f>N42/C42</f>
        <v>0.87915742821171239</v>
      </c>
    </row>
    <row r="44" spans="1:15" x14ac:dyDescent="0.25">
      <c r="C44" s="109"/>
      <c r="F44" s="110"/>
    </row>
    <row r="46" spans="1:15" x14ac:dyDescent="0.25">
      <c r="C46" s="109"/>
    </row>
  </sheetData>
  <sheetProtection algorithmName="SHA-512" hashValue="uRE15dXJyWTBO3HDGWhIkE9jZAVEW6QUXB/t3HZFHd/D8IZI2/PX5ZPhBts4QC6ekFWPPEHvnaeFOYlNPp9NPw==" saltValue="Wg7uvvxAZug/KgZVs6382g=="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M72"/>
  <sheetViews>
    <sheetView topLeftCell="A4" zoomScale="120" zoomScaleNormal="120" workbookViewId="0">
      <selection activeCell="F18" sqref="F18"/>
    </sheetView>
  </sheetViews>
  <sheetFormatPr baseColWidth="10" defaultRowHeight="15" x14ac:dyDescent="0.25"/>
  <cols>
    <col min="1" max="1" width="11.42578125" style="167"/>
    <col min="2" max="2" width="24.85546875" bestFit="1" customWidth="1"/>
    <col min="3" max="9" width="20.140625" customWidth="1"/>
    <col min="10" max="10" width="18" style="167" bestFit="1" customWidth="1"/>
    <col min="11" max="11" width="17.5703125" style="167" bestFit="1" customWidth="1"/>
    <col min="12" max="12" width="17.85546875" style="167" bestFit="1" customWidth="1"/>
    <col min="13" max="13" width="11.42578125" style="167"/>
  </cols>
  <sheetData>
    <row r="1" spans="1:13" s="167" customFormat="1" ht="20.25" x14ac:dyDescent="0.25">
      <c r="B1" s="96"/>
      <c r="D1" s="97" t="s">
        <v>33</v>
      </c>
    </row>
    <row r="2" spans="1:13" s="167" customFormat="1" x14ac:dyDescent="0.25">
      <c r="B2" s="96"/>
      <c r="D2" s="96"/>
    </row>
    <row r="3" spans="1:13" s="167" customFormat="1" x14ac:dyDescent="0.25">
      <c r="B3" s="96"/>
      <c r="D3" s="101" t="s">
        <v>131</v>
      </c>
    </row>
    <row r="4" spans="1:13" s="167" customFormat="1" x14ac:dyDescent="0.25">
      <c r="B4" s="96"/>
      <c r="D4" s="102" t="s">
        <v>215</v>
      </c>
    </row>
    <row r="5" spans="1:13" s="167" customFormat="1" x14ac:dyDescent="0.25">
      <c r="B5" s="96"/>
      <c r="D5" s="101" t="s">
        <v>96</v>
      </c>
    </row>
    <row r="6" spans="1:13" s="167" customFormat="1" x14ac:dyDescent="0.25">
      <c r="B6" s="96"/>
      <c r="D6" s="103"/>
    </row>
    <row r="7" spans="1:13" s="167" customFormat="1" x14ac:dyDescent="0.25"/>
    <row r="8" spans="1:13" x14ac:dyDescent="0.25">
      <c r="B8" s="247" t="s">
        <v>65</v>
      </c>
      <c r="C8" s="247"/>
      <c r="D8" s="247"/>
      <c r="E8" s="247"/>
      <c r="F8" s="247"/>
      <c r="G8" s="247"/>
      <c r="H8" s="247"/>
      <c r="I8" s="247"/>
    </row>
    <row r="9" spans="1:13" ht="15.75" customHeight="1" thickBot="1" x14ac:dyDescent="0.3">
      <c r="B9" s="247"/>
      <c r="C9" s="247"/>
      <c r="D9" s="247"/>
      <c r="E9" s="247"/>
      <c r="F9" s="247"/>
      <c r="G9" s="247"/>
      <c r="H9" s="247"/>
      <c r="I9" s="247"/>
    </row>
    <row r="10" spans="1:13" s="122" customFormat="1" ht="17.25" thickBot="1" x14ac:dyDescent="0.35">
      <c r="A10" s="168"/>
      <c r="B10" s="168"/>
      <c r="C10" s="168"/>
      <c r="D10" s="168"/>
      <c r="E10" s="248" t="s">
        <v>125</v>
      </c>
      <c r="F10" s="249"/>
      <c r="G10" s="250" t="s">
        <v>126</v>
      </c>
      <c r="H10" s="251"/>
      <c r="I10" s="252" t="s">
        <v>129</v>
      </c>
      <c r="J10" s="168"/>
      <c r="K10" s="168"/>
      <c r="L10" s="168"/>
      <c r="M10" s="168"/>
    </row>
    <row r="11" spans="1:13" s="122" customFormat="1" ht="17.25" thickBot="1" x14ac:dyDescent="0.35">
      <c r="A11" s="168"/>
      <c r="B11" s="123" t="s">
        <v>68</v>
      </c>
      <c r="C11" s="123" t="s">
        <v>69</v>
      </c>
      <c r="D11" s="123" t="s">
        <v>70</v>
      </c>
      <c r="E11" s="142" t="s">
        <v>127</v>
      </c>
      <c r="F11" s="142" t="s">
        <v>128</v>
      </c>
      <c r="G11" s="138" t="s">
        <v>127</v>
      </c>
      <c r="H11" s="139" t="s">
        <v>128</v>
      </c>
      <c r="I11" s="253"/>
      <c r="J11" s="204" t="s">
        <v>139</v>
      </c>
      <c r="K11" s="168"/>
      <c r="L11" s="168"/>
      <c r="M11" s="168"/>
    </row>
    <row r="12" spans="1:13" s="122" customFormat="1" ht="16.5" x14ac:dyDescent="0.3">
      <c r="A12" s="168"/>
      <c r="B12" s="124" t="s">
        <v>83</v>
      </c>
      <c r="C12" s="125">
        <f>SUM(C13:C15)</f>
        <v>78755679868</v>
      </c>
      <c r="D12" s="125">
        <f>SUM(D13:D15)</f>
        <v>78755679868</v>
      </c>
      <c r="E12" s="125">
        <f>SUM(E13:E15)</f>
        <v>25503921270.549995</v>
      </c>
      <c r="F12" s="126">
        <f t="shared" ref="F12:F17" si="0">E12/D12</f>
        <v>0.32383596095286515</v>
      </c>
      <c r="G12" s="238">
        <f>+H12*D12</f>
        <v>22713138073.931198</v>
      </c>
      <c r="H12" s="241">
        <f>+'METAS EJEC. SIC - MINCIT'!E5</f>
        <v>0.28839999999999999</v>
      </c>
      <c r="I12" s="235" t="str">
        <f>+IF(OR(F12/H12&gt;100%,F12/H12=100%),"CUMPLIDO",F12/H12)</f>
        <v>CUMPLIDO</v>
      </c>
      <c r="J12" s="232" t="str">
        <f>IF(+G12-E12&gt;0,G12-E12,"CUMPLIDO")</f>
        <v>CUMPLIDO</v>
      </c>
      <c r="K12" s="168"/>
      <c r="L12" s="168"/>
      <c r="M12" s="168"/>
    </row>
    <row r="13" spans="1:13" s="122" customFormat="1" ht="16.5" x14ac:dyDescent="0.3">
      <c r="A13" s="168"/>
      <c r="B13" s="127" t="s">
        <v>84</v>
      </c>
      <c r="C13" s="128">
        <f>+GETPIVOTDATA("Suma de APR. INICIAL",'TD-EPA'!$A$3,"TIPO","A","CTA","01")</f>
        <v>58763996000</v>
      </c>
      <c r="D13" s="128">
        <f>+GETPIVOTDATA("Suma de APR. VIGENTE",'TD-EPA'!$A$3,"TIPO","A","CTA","01")</f>
        <v>58763996000</v>
      </c>
      <c r="E13" s="128">
        <f>+GETPIVOTDATA("Suma de COMPROMISO",'TD-EPA'!$A$3,"TIPO","A","CTA","01")</f>
        <v>14423526599</v>
      </c>
      <c r="F13" s="129">
        <f t="shared" si="0"/>
        <v>0.2454483626164565</v>
      </c>
      <c r="G13" s="239"/>
      <c r="H13" s="242"/>
      <c r="I13" s="236"/>
      <c r="J13" s="233"/>
      <c r="K13" s="201"/>
      <c r="L13" s="168"/>
      <c r="M13" s="168"/>
    </row>
    <row r="14" spans="1:13" s="122" customFormat="1" ht="16.5" x14ac:dyDescent="0.3">
      <c r="A14" s="168"/>
      <c r="B14" s="127" t="s">
        <v>85</v>
      </c>
      <c r="C14" s="128">
        <f>+GETPIVOTDATA("Suma de APR. INICIAL",'TD-EPA'!$A$3,"TIPO","A","CTA","02")</f>
        <v>12676328868</v>
      </c>
      <c r="D14" s="128">
        <f>+GETPIVOTDATA("Suma de APR. VIGENTE",'TD-EPA'!$A$3,"TIPO","A","CTA","02")</f>
        <v>12676328868</v>
      </c>
      <c r="E14" s="128">
        <f>+GETPIVOTDATA("Suma de COMPROMISO",'TD-EPA'!$A$3,"TIPO","A","CTA","02")</f>
        <v>10200301765.629999</v>
      </c>
      <c r="F14" s="129">
        <f t="shared" si="0"/>
        <v>0.80467317248131209</v>
      </c>
      <c r="G14" s="239"/>
      <c r="H14" s="242"/>
      <c r="I14" s="236"/>
      <c r="J14" s="233"/>
      <c r="K14" s="201"/>
      <c r="L14" s="168"/>
      <c r="M14" s="168"/>
    </row>
    <row r="15" spans="1:13" s="122" customFormat="1" ht="17.25" thickBot="1" x14ac:dyDescent="0.35">
      <c r="A15" s="168"/>
      <c r="B15" s="130" t="s">
        <v>86</v>
      </c>
      <c r="C15" s="131">
        <f>+GETPIVOTDATA("Suma de APR. INICIAL",'TD-EPA'!$A$3,"TIPO","A","CTA","03")+GETPIVOTDATA("Suma de APR. INICIAL",'TD-EPA'!$A$3,"TIPO","A","CTA","08")</f>
        <v>7315355000</v>
      </c>
      <c r="D15" s="131">
        <f>+GETPIVOTDATA("Suma de APR. VIGENTE",'TD-EPA'!$A$3,"TIPO","A","CTA","03")+GETPIVOTDATA("Suma de APR. VIGENTE",'TD-EPA'!$A$3,"TIPO","A","CTA","08")</f>
        <v>7315355000</v>
      </c>
      <c r="E15" s="131">
        <f>+GETPIVOTDATA("Suma de COMPROMISO",'TD-EPA'!$A$3,"TIPO","A","CTA","03")+GETPIVOTDATA("Suma de COMPROMISO",'TD-EPA'!$A$3,"TIPO","A","CTA","08")</f>
        <v>880092905.92000008</v>
      </c>
      <c r="F15" s="132">
        <f t="shared" si="0"/>
        <v>0.12030761404197063</v>
      </c>
      <c r="G15" s="240"/>
      <c r="H15" s="243"/>
      <c r="I15" s="237"/>
      <c r="J15" s="234"/>
      <c r="K15" s="168"/>
      <c r="L15" s="168"/>
      <c r="M15" s="168"/>
    </row>
    <row r="16" spans="1:13" s="122" customFormat="1" ht="17.25" thickBot="1" x14ac:dyDescent="0.35">
      <c r="A16" s="168"/>
      <c r="B16" s="133" t="s">
        <v>87</v>
      </c>
      <c r="C16" s="134">
        <f>+GETPIVOTDATA("Suma de APR. INICIAL",'TD-EPA'!$A$3,"TIPO","C")</f>
        <v>161536218750</v>
      </c>
      <c r="D16" s="134">
        <f>+GETPIVOTDATA("Suma de APR. VIGENTE",'TD-EPA'!$A$3,"TIPO","C")</f>
        <v>165336840329</v>
      </c>
      <c r="E16" s="134">
        <f>+GETPIVOTDATA("Suma de COMPROMISO",'TD-EPA'!$A$3,"TIPO","C")</f>
        <v>87167456910.880005</v>
      </c>
      <c r="F16" s="135">
        <f>E16/D16</f>
        <v>0.52721133860685543</v>
      </c>
      <c r="G16" s="134">
        <f>+H16*D16</f>
        <v>104778470704</v>
      </c>
      <c r="H16" s="135">
        <f>+'METAS EJEC. SIC - MINCIT'!E8</f>
        <v>0.63372730781296971</v>
      </c>
      <c r="I16" s="165">
        <f>+IF(OR(F16/H16&gt;100%,F16/H16=100%),"CUMPLIDO",F16/H16)</f>
        <v>0.83192144650716227</v>
      </c>
      <c r="J16" s="202">
        <f>IF(+G16-E16&gt;0,G16-E16,"CUMPLIDO")</f>
        <v>17611013793.119995</v>
      </c>
      <c r="K16" s="168"/>
      <c r="L16" s="168"/>
      <c r="M16" s="168"/>
    </row>
    <row r="17" spans="1:13" s="122" customFormat="1" ht="17.25" thickBot="1" x14ac:dyDescent="0.35">
      <c r="A17" s="168"/>
      <c r="B17" s="136" t="s">
        <v>60</v>
      </c>
      <c r="C17" s="137">
        <f>C12+C16</f>
        <v>240291898618</v>
      </c>
      <c r="D17" s="137">
        <f>D12+D16</f>
        <v>244092520197</v>
      </c>
      <c r="E17" s="143">
        <f>E12+E16</f>
        <v>112671378181.42999</v>
      </c>
      <c r="F17" s="144">
        <f t="shared" si="0"/>
        <v>0.46159291604059061</v>
      </c>
      <c r="G17" s="140">
        <f>+G16+G12</f>
        <v>127491608777.9312</v>
      </c>
      <c r="H17" s="141">
        <f>+'METAS EJEC. SIC - MINCIT'!E11</f>
        <v>0.52230854380558822</v>
      </c>
      <c r="I17" s="166">
        <f>+IF(OR(F17/H17&gt;100%,F17/H17=100%),"CUMPLIDO",F17/H17)</f>
        <v>0.8837552468075327</v>
      </c>
      <c r="J17" s="203">
        <f>IF(+G17-E17&gt;0,G17-E17,"CUMPLIDO")</f>
        <v>14820230596.501205</v>
      </c>
      <c r="K17" s="201"/>
      <c r="L17" s="168"/>
      <c r="M17" s="168"/>
    </row>
    <row r="18" spans="1:13" s="167" customFormat="1" x14ac:dyDescent="0.25">
      <c r="H18" s="213"/>
    </row>
    <row r="19" spans="1:13" ht="15" customHeight="1" x14ac:dyDescent="0.25">
      <c r="B19" s="247" t="s">
        <v>130</v>
      </c>
      <c r="C19" s="247"/>
      <c r="D19" s="247"/>
      <c r="E19" s="247"/>
      <c r="F19" s="247"/>
      <c r="G19" s="247"/>
      <c r="H19" s="247"/>
      <c r="I19" s="247"/>
      <c r="K19" s="185"/>
    </row>
    <row r="20" spans="1:13" ht="15.75" customHeight="1" thickBot="1" x14ac:dyDescent="0.3">
      <c r="B20" s="247"/>
      <c r="C20" s="247"/>
      <c r="D20" s="247"/>
      <c r="E20" s="247"/>
      <c r="F20" s="247"/>
      <c r="G20" s="247"/>
      <c r="H20" s="247"/>
      <c r="I20" s="247"/>
      <c r="K20" s="186"/>
      <c r="L20" s="185"/>
    </row>
    <row r="21" spans="1:13" ht="17.25" thickBot="1" x14ac:dyDescent="0.35">
      <c r="B21" s="168"/>
      <c r="C21" s="168"/>
      <c r="D21" s="168"/>
      <c r="E21" s="248" t="s">
        <v>125</v>
      </c>
      <c r="F21" s="249"/>
      <c r="G21" s="250" t="s">
        <v>126</v>
      </c>
      <c r="H21" s="251"/>
      <c r="I21" s="252" t="s">
        <v>129</v>
      </c>
      <c r="L21" s="185"/>
    </row>
    <row r="22" spans="1:13" ht="17.25" thickBot="1" x14ac:dyDescent="0.3">
      <c r="B22" s="123" t="s">
        <v>68</v>
      </c>
      <c r="C22" s="123" t="s">
        <v>69</v>
      </c>
      <c r="D22" s="123" t="s">
        <v>70</v>
      </c>
      <c r="E22" s="142" t="s">
        <v>127</v>
      </c>
      <c r="F22" s="142" t="s">
        <v>128</v>
      </c>
      <c r="G22" s="138" t="s">
        <v>127</v>
      </c>
      <c r="H22" s="139" t="s">
        <v>128</v>
      </c>
      <c r="I22" s="253"/>
      <c r="J22" s="204" t="s">
        <v>139</v>
      </c>
      <c r="L22" s="185"/>
    </row>
    <row r="23" spans="1:13" ht="16.5" x14ac:dyDescent="0.3">
      <c r="B23" s="124" t="s">
        <v>83</v>
      </c>
      <c r="C23" s="125">
        <f>SUM(C24:C26)</f>
        <v>78755679868</v>
      </c>
      <c r="D23" s="125">
        <f>SUM(D24:D26)</f>
        <v>78755679868</v>
      </c>
      <c r="E23" s="125">
        <f>SUM(E24:E26)</f>
        <v>18185875567.989998</v>
      </c>
      <c r="F23" s="126">
        <f>E23/D23</f>
        <v>0.23091509842173658</v>
      </c>
      <c r="G23" s="244">
        <f>+H23*D23</f>
        <v>20350467677.891201</v>
      </c>
      <c r="H23" s="241">
        <f>+'METAS EJEC. SIC - MINCIT'!Q5</f>
        <v>0.25840000000000002</v>
      </c>
      <c r="I23" s="235">
        <f>+IF(OR(F23/H23&gt;100%,F23/H23=100%),"CUMPLIDO",F23/H23)</f>
        <v>0.89363428181786597</v>
      </c>
      <c r="J23" s="232">
        <f>IF(+G23-E23&gt;0,G23-E23,"CUMPLIDO")</f>
        <v>2164592109.9012032</v>
      </c>
      <c r="K23" s="183"/>
    </row>
    <row r="24" spans="1:13" ht="16.5" x14ac:dyDescent="0.3">
      <c r="B24" s="127" t="s">
        <v>84</v>
      </c>
      <c r="C24" s="128">
        <f>+GETPIVOTDATA("Suma de APR. INICIAL",'TD-EPA'!$A$3,"TIPO","A","CTA","01")</f>
        <v>58763996000</v>
      </c>
      <c r="D24" s="128">
        <f>+GETPIVOTDATA("Suma de APR. VIGENTE",'TD-EPA'!$A$3,"TIPO","A","CTA","01")</f>
        <v>58763996000</v>
      </c>
      <c r="E24" s="128">
        <f>+GETPIVOTDATA("Suma de OBLIGACION",'TD-EPA'!$A$3,"TIPO","A","CTA","01")</f>
        <v>14150016625</v>
      </c>
      <c r="F24" s="129">
        <f t="shared" ref="F24:F28" si="1">E24/D24</f>
        <v>0.24079398250929021</v>
      </c>
      <c r="G24" s="245"/>
      <c r="H24" s="242"/>
      <c r="I24" s="236"/>
      <c r="J24" s="233"/>
    </row>
    <row r="25" spans="1:13" ht="16.5" x14ac:dyDescent="0.3">
      <c r="B25" s="127" t="s">
        <v>85</v>
      </c>
      <c r="C25" s="128">
        <f>+GETPIVOTDATA("Suma de APR. INICIAL",'TD-EPA'!$A$3,"TIPO","A","CTA","02")</f>
        <v>12676328868</v>
      </c>
      <c r="D25" s="128">
        <f>+GETPIVOTDATA("Suma de APR. VIGENTE",'TD-EPA'!$A$3,"TIPO","A","CTA","02")</f>
        <v>12676328868</v>
      </c>
      <c r="E25" s="128">
        <f>+GETPIVOTDATA("Suma de OBLIGACION",'TD-EPA'!$A$3,"TIPO","A","CTA","02")</f>
        <v>3160174721.9099998</v>
      </c>
      <c r="F25" s="129">
        <f t="shared" si="1"/>
        <v>0.2492973127170528</v>
      </c>
      <c r="G25" s="245"/>
      <c r="H25" s="242"/>
      <c r="I25" s="236"/>
      <c r="J25" s="233"/>
    </row>
    <row r="26" spans="1:13" ht="17.25" thickBot="1" x14ac:dyDescent="0.35">
      <c r="B26" s="130" t="s">
        <v>86</v>
      </c>
      <c r="C26" s="131">
        <f>+GETPIVOTDATA("Suma de APR. INICIAL",'TD-EPA'!$A$3,"TIPO","A","CTA","03")+GETPIVOTDATA("Suma de APR. INICIAL",'TD-EPA'!$A$3,"TIPO","A","CTA","08")</f>
        <v>7315355000</v>
      </c>
      <c r="D26" s="131">
        <f>+GETPIVOTDATA("Suma de APR. VIGENTE",'TD-EPA'!$A$3,"TIPO","A","CTA","03")+GETPIVOTDATA("Suma de APR. VIGENTE",'TD-EPA'!$A$3,"TIPO","A","CTA","08")</f>
        <v>7315355000</v>
      </c>
      <c r="E26" s="131">
        <f>+GETPIVOTDATA("Suma de OBLIGACION",'TD-EPA'!$A$3,"TIPO","A","CTA","03")+GETPIVOTDATA("Suma de OBLIGACION",'TD-EPA'!$A$3,"TIPO","A","CTA","08")</f>
        <v>875684221.07999992</v>
      </c>
      <c r="F26" s="132">
        <f>E26/D26</f>
        <v>0.11970495226547447</v>
      </c>
      <c r="G26" s="246"/>
      <c r="H26" s="243"/>
      <c r="I26" s="237"/>
      <c r="J26" s="234"/>
    </row>
    <row r="27" spans="1:13" ht="17.25" thickBot="1" x14ac:dyDescent="0.35">
      <c r="B27" s="133" t="s">
        <v>87</v>
      </c>
      <c r="C27" s="134">
        <f>+GETPIVOTDATA("Suma de APR. INICIAL",'TD-EPA'!$A$3,"TIPO","C")</f>
        <v>161536218750</v>
      </c>
      <c r="D27" s="134">
        <f>+GETPIVOTDATA("Suma de APR. VIGENTE",'TD-EPA'!$A$3,"TIPO","C")</f>
        <v>165336840329</v>
      </c>
      <c r="E27" s="134">
        <f>+GETPIVOTDATA("Suma de OBLIGACION",'TD-EPA'!$A$3,"TIPO","C")</f>
        <v>11310892326.9</v>
      </c>
      <c r="F27" s="135">
        <f t="shared" si="1"/>
        <v>6.8411204087320848E-2</v>
      </c>
      <c r="G27" s="134">
        <f t="shared" ref="G27" si="2">+H27*D27</f>
        <v>23068455700.5</v>
      </c>
      <c r="H27" s="135">
        <f>+'METAS EJEC. SIC - MINCIT'!Q8</f>
        <v>0.13952399026494403</v>
      </c>
      <c r="I27" s="165">
        <f>+IF(OR(F27/H27&gt;100%,F27/H27=100%),"CUMPLIDO",F27/H27)</f>
        <v>0.49031857501648191</v>
      </c>
      <c r="J27" s="202">
        <f>IF(+G27-E27&gt;0,G27-E27,"CUMPLIDO")</f>
        <v>11757563373.6</v>
      </c>
      <c r="K27" s="186"/>
    </row>
    <row r="28" spans="1:13" ht="17.25" thickBot="1" x14ac:dyDescent="0.35">
      <c r="B28" s="136" t="s">
        <v>60</v>
      </c>
      <c r="C28" s="137">
        <f>C23+C27</f>
        <v>240291898618</v>
      </c>
      <c r="D28" s="137">
        <f>D23+D27</f>
        <v>244092520197</v>
      </c>
      <c r="E28" s="143">
        <f>E23+E27</f>
        <v>29496767894.889999</v>
      </c>
      <c r="F28" s="144">
        <f t="shared" si="1"/>
        <v>0.12084257178828754</v>
      </c>
      <c r="G28" s="140">
        <f>+G23+G27</f>
        <v>43418923378.391205</v>
      </c>
      <c r="H28" s="141">
        <f>+'METAS EJEC. SIC - MINCIT'!Q11</f>
        <v>0.17787895894290021</v>
      </c>
      <c r="I28" s="166">
        <f>+IF(OR(F28/H28&gt;100%,F28/H28=100%),"CUMPLIDO",F28/H28)</f>
        <v>0.67935281669305503</v>
      </c>
      <c r="J28" s="203">
        <f>IF(+G28-E28&gt;0,G28-E28,"CUMPLIDO")</f>
        <v>13922155483.501205</v>
      </c>
      <c r="K28" s="186"/>
    </row>
    <row r="29" spans="1:13" s="167" customFormat="1" x14ac:dyDescent="0.25">
      <c r="I29" s="169"/>
    </row>
    <row r="30" spans="1:13" s="167" customFormat="1" x14ac:dyDescent="0.25"/>
    <row r="31" spans="1:13" s="167" customFormat="1" x14ac:dyDescent="0.25"/>
    <row r="32" spans="1:13" s="167" customFormat="1" x14ac:dyDescent="0.25"/>
    <row r="33" s="167" customFormat="1" x14ac:dyDescent="0.25"/>
    <row r="34" s="167" customFormat="1" x14ac:dyDescent="0.25"/>
    <row r="35" s="167" customFormat="1" x14ac:dyDescent="0.25"/>
    <row r="36" s="167" customFormat="1" x14ac:dyDescent="0.25"/>
    <row r="37" s="167" customFormat="1" x14ac:dyDescent="0.25"/>
    <row r="38" s="167" customFormat="1" x14ac:dyDescent="0.25"/>
    <row r="39" s="167" customFormat="1" x14ac:dyDescent="0.25"/>
    <row r="40" s="167" customFormat="1" x14ac:dyDescent="0.25"/>
    <row r="41" s="167" customFormat="1" x14ac:dyDescent="0.25"/>
    <row r="42" s="167" customFormat="1" x14ac:dyDescent="0.25"/>
    <row r="43" s="167" customFormat="1" x14ac:dyDescent="0.25"/>
    <row r="44" s="167" customFormat="1" x14ac:dyDescent="0.25"/>
    <row r="45" s="167" customFormat="1" x14ac:dyDescent="0.25"/>
    <row r="46" s="167" customFormat="1" x14ac:dyDescent="0.25"/>
    <row r="47" s="167" customFormat="1" x14ac:dyDescent="0.25"/>
    <row r="48" s="167" customFormat="1" x14ac:dyDescent="0.25"/>
    <row r="49" s="167" customFormat="1" x14ac:dyDescent="0.25"/>
    <row r="50" s="167" customFormat="1" x14ac:dyDescent="0.25"/>
    <row r="51" s="167" customFormat="1" x14ac:dyDescent="0.25"/>
    <row r="52" s="167" customFormat="1" x14ac:dyDescent="0.25"/>
    <row r="53" s="167" customFormat="1" x14ac:dyDescent="0.25"/>
    <row r="54" s="167" customFormat="1" x14ac:dyDescent="0.25"/>
    <row r="55" s="167" customFormat="1" x14ac:dyDescent="0.25"/>
    <row r="56" s="167" customFormat="1" x14ac:dyDescent="0.25"/>
    <row r="57" s="167" customFormat="1" x14ac:dyDescent="0.25"/>
    <row r="58" s="167" customFormat="1" x14ac:dyDescent="0.25"/>
    <row r="59" s="167" customFormat="1" x14ac:dyDescent="0.25"/>
    <row r="60" s="167" customFormat="1" x14ac:dyDescent="0.25"/>
    <row r="61" s="167" customFormat="1" x14ac:dyDescent="0.25"/>
    <row r="62" s="167" customFormat="1" x14ac:dyDescent="0.25"/>
    <row r="63" s="167" customFormat="1" x14ac:dyDescent="0.25"/>
    <row r="64" s="167" customFormat="1" x14ac:dyDescent="0.25"/>
    <row r="65" s="167" customFormat="1" x14ac:dyDescent="0.25"/>
    <row r="66" s="167" customFormat="1" x14ac:dyDescent="0.25"/>
    <row r="67" s="167" customFormat="1" x14ac:dyDescent="0.25"/>
    <row r="68" s="167" customFormat="1" x14ac:dyDescent="0.25"/>
    <row r="69" s="167" customFormat="1" x14ac:dyDescent="0.25"/>
    <row r="70" s="167" customFormat="1" x14ac:dyDescent="0.25"/>
    <row r="71" s="167" customFormat="1" x14ac:dyDescent="0.25"/>
    <row r="72" s="167" customFormat="1" x14ac:dyDescent="0.25"/>
  </sheetData>
  <mergeCells count="16">
    <mergeCell ref="B8:I9"/>
    <mergeCell ref="I10:I11"/>
    <mergeCell ref="I21:I22"/>
    <mergeCell ref="I12:I15"/>
    <mergeCell ref="E10:F10"/>
    <mergeCell ref="G10:H10"/>
    <mergeCell ref="J12:J15"/>
    <mergeCell ref="J23:J26"/>
    <mergeCell ref="I23:I26"/>
    <mergeCell ref="G12:G15"/>
    <mergeCell ref="H12:H15"/>
    <mergeCell ref="G23:G26"/>
    <mergeCell ref="H23:H26"/>
    <mergeCell ref="B19:I20"/>
    <mergeCell ref="E21:F21"/>
    <mergeCell ref="G21:H21"/>
  </mergeCells>
  <conditionalFormatting sqref="I12:J17 I23:I28">
    <cfRule type="cellIs" dxfId="48" priority="13" operator="equal">
      <formula>"CUMPLIDO"</formula>
    </cfRule>
    <cfRule type="cellIs" dxfId="47" priority="14" operator="between">
      <formula>0.95</formula>
      <formula>1</formula>
    </cfRule>
    <cfRule type="cellIs" dxfId="46" priority="15" operator="between">
      <formula>0.85</formula>
      <formula>0.95</formula>
    </cfRule>
    <cfRule type="cellIs" dxfId="45" priority="16" operator="lessThan">
      <formula>0.85</formula>
    </cfRule>
  </conditionalFormatting>
  <conditionalFormatting sqref="J27:J28">
    <cfRule type="cellIs" dxfId="44" priority="5" operator="equal">
      <formula>"CUMPLIDO"</formula>
    </cfRule>
    <cfRule type="cellIs" dxfId="43" priority="6" operator="between">
      <formula>0.95</formula>
      <formula>1</formula>
    </cfRule>
    <cfRule type="cellIs" dxfId="42" priority="7" operator="between">
      <formula>0.85</formula>
      <formula>0.95</formula>
    </cfRule>
    <cfRule type="cellIs" dxfId="41" priority="8" operator="lessThan">
      <formula>0.85</formula>
    </cfRule>
  </conditionalFormatting>
  <conditionalFormatting sqref="J23:J26">
    <cfRule type="cellIs" dxfId="40" priority="1" operator="equal">
      <formula>"CUMPLIDO"</formula>
    </cfRule>
    <cfRule type="cellIs" dxfId="39" priority="2" operator="between">
      <formula>0.95</formula>
      <formula>1</formula>
    </cfRule>
    <cfRule type="cellIs" dxfId="38" priority="3" operator="between">
      <formula>0.85</formula>
      <formula>0.95</formula>
    </cfRule>
    <cfRule type="cellIs" dxfId="37" priority="4" operator="lessThan">
      <formula>0.85</formula>
    </cfRule>
  </conditionalFormatting>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42"/>
  <sheetViews>
    <sheetView workbookViewId="0">
      <selection activeCell="A46" sqref="A46"/>
    </sheetView>
  </sheetViews>
  <sheetFormatPr baseColWidth="10" defaultRowHeight="15" x14ac:dyDescent="0.25"/>
  <cols>
    <col min="1" max="1" width="28.28515625" style="7" customWidth="1"/>
    <col min="2" max="2" width="20.7109375" style="7" customWidth="1"/>
    <col min="3" max="5" width="20.85546875" style="7" customWidth="1"/>
    <col min="6" max="6" width="20.7109375" style="7" customWidth="1"/>
    <col min="7" max="7" width="10.7109375" style="7" customWidth="1"/>
    <col min="8" max="8" width="20.7109375" style="7" customWidth="1"/>
    <col min="9" max="9" width="10.7109375" style="7" customWidth="1"/>
    <col min="10" max="10" width="20.7109375" style="7" customWidth="1"/>
    <col min="11" max="11" width="17.140625" style="7" bestFit="1" customWidth="1"/>
    <col min="12" max="12" width="20.7109375" style="7" customWidth="1"/>
    <col min="13" max="13" width="10.7109375" style="7" customWidth="1"/>
    <col min="14" max="14" width="20.7109375" style="7" customWidth="1"/>
    <col min="15" max="15" width="10.7109375" style="7" customWidth="1"/>
    <col min="16" max="16" width="20.7109375" style="7" customWidth="1"/>
    <col min="17" max="17" width="10.7109375" style="7" customWidth="1"/>
    <col min="18" max="18" width="20.7109375" style="7" customWidth="1"/>
    <col min="19" max="19" width="10.7109375" style="7" customWidth="1"/>
    <col min="20" max="16384" width="11.42578125" style="7"/>
  </cols>
  <sheetData>
    <row r="1" spans="1:13" x14ac:dyDescent="0.25">
      <c r="A1" s="6" t="s">
        <v>66</v>
      </c>
    </row>
    <row r="2" spans="1:13" x14ac:dyDescent="0.25">
      <c r="A2" s="6" t="s">
        <v>67</v>
      </c>
    </row>
    <row r="3" spans="1:13" x14ac:dyDescent="0.25">
      <c r="A3" s="6" t="s">
        <v>33</v>
      </c>
    </row>
    <row r="4" spans="1:13" x14ac:dyDescent="0.25">
      <c r="A4" s="6"/>
      <c r="B4" s="8"/>
    </row>
    <row r="5" spans="1:13" ht="15.75" thickBot="1" x14ac:dyDescent="0.3"/>
    <row r="6" spans="1:13" ht="15.75" thickBot="1" x14ac:dyDescent="0.3">
      <c r="A6" s="9" t="s">
        <v>68</v>
      </c>
      <c r="B6" s="9" t="s">
        <v>69</v>
      </c>
      <c r="C6" s="9" t="s">
        <v>70</v>
      </c>
      <c r="D6" s="10" t="s">
        <v>71</v>
      </c>
      <c r="E6" s="10" t="s">
        <v>72</v>
      </c>
      <c r="F6" s="11" t="s">
        <v>26</v>
      </c>
      <c r="G6" s="11" t="s">
        <v>73</v>
      </c>
      <c r="H6" s="12" t="s">
        <v>65</v>
      </c>
      <c r="I6" s="12" t="s">
        <v>74</v>
      </c>
      <c r="J6" s="13" t="s">
        <v>29</v>
      </c>
      <c r="K6" s="13" t="s">
        <v>75</v>
      </c>
      <c r="L6" s="14" t="s">
        <v>31</v>
      </c>
      <c r="M6" s="14" t="s">
        <v>76</v>
      </c>
    </row>
    <row r="7" spans="1:13" x14ac:dyDescent="0.25">
      <c r="A7" s="18" t="s">
        <v>83</v>
      </c>
      <c r="B7" s="19">
        <f>SUM(B8:B10)</f>
        <v>78755679868</v>
      </c>
      <c r="C7" s="19">
        <f>SUM(C8:C10)</f>
        <v>78755679868</v>
      </c>
      <c r="D7" s="19">
        <f>SUM(D8:D10)</f>
        <v>3316231000</v>
      </c>
      <c r="E7" s="20">
        <f>D7/C7</f>
        <v>4.2107832800862541E-2</v>
      </c>
      <c r="F7" s="19">
        <f t="shared" ref="F7:J7" si="0">SUM(F8:F10)</f>
        <v>69778195585</v>
      </c>
      <c r="G7" s="20">
        <f t="shared" ref="G7:G12" si="1">F7/C7</f>
        <v>0.8860084212586713</v>
      </c>
      <c r="H7" s="19">
        <f t="shared" si="0"/>
        <v>25501025978.549995</v>
      </c>
      <c r="I7" s="20">
        <f>H7/C7</f>
        <v>0.32379919799170664</v>
      </c>
      <c r="J7" s="19">
        <f t="shared" si="0"/>
        <v>18182980275.989998</v>
      </c>
      <c r="K7" s="20">
        <f>J7/C7</f>
        <v>0.23087833546057807</v>
      </c>
      <c r="L7" s="19">
        <f>SUM(L8:L10)</f>
        <v>18103365511.989998</v>
      </c>
      <c r="M7" s="20">
        <f>L7/C7</f>
        <v>0.22986742724248585</v>
      </c>
    </row>
    <row r="8" spans="1:13" ht="16.5" x14ac:dyDescent="0.3">
      <c r="A8" s="21" t="s">
        <v>84</v>
      </c>
      <c r="B8" s="128">
        <f>+GETPIVOTDATA("Suma de APR. INICIAL",'TD-EPA'!$A$3,"TIPO","A","CTA","01")</f>
        <v>58763996000</v>
      </c>
      <c r="C8" s="128">
        <f>+GETPIVOTDATA("Suma de APR. VIGENTE",'TD-EPA'!$A$3,"TIPO","A","CTA","01")</f>
        <v>58763996000</v>
      </c>
      <c r="D8" s="22">
        <f>+GETPIVOTDATA("Suma de APR BLOQUEADA",'TD-EPA'!$A$3,"TIPO","A","CTA","01")</f>
        <v>1870031000</v>
      </c>
      <c r="E8" s="23">
        <f t="shared" ref="E8:E12" si="2">D8/C8</f>
        <v>3.1822733770521666E-2</v>
      </c>
      <c r="F8" s="22">
        <f>+GETPIVOTDATA("Suma de CDP",'TD-EPA'!$A$3,"TIPO","A","CTA","01")</f>
        <v>56893965000</v>
      </c>
      <c r="G8" s="23">
        <f t="shared" si="1"/>
        <v>0.96817726622947831</v>
      </c>
      <c r="H8" s="22">
        <f>+GETPIVOTDATA("Suma de COMPROMISO",'TD-EPA'!$A$3,"TIPO","A","CTA","01")</f>
        <v>14423526599</v>
      </c>
      <c r="I8" s="23">
        <f t="shared" ref="I8:I12" si="3">H8/C8</f>
        <v>0.2454483626164565</v>
      </c>
      <c r="J8" s="22">
        <f>+GETPIVOTDATA("Suma de OBLIGACION",'TD-EPA'!$A$3,"TIPO","A","CTA","01")</f>
        <v>14150016625</v>
      </c>
      <c r="K8" s="23">
        <f t="shared" ref="K8:K12" si="4">J8/C8</f>
        <v>0.24079398250929021</v>
      </c>
      <c r="L8" s="22">
        <f>+GETPIVOTDATA("Suma de PAGOS",'TD-EPA'!$A$3,"TIPO","A","CTA","01")</f>
        <v>14081921425</v>
      </c>
      <c r="M8" s="23">
        <f t="shared" ref="M8:M12" si="5">L8/C8</f>
        <v>0.23963519133382283</v>
      </c>
    </row>
    <row r="9" spans="1:13" ht="16.5" x14ac:dyDescent="0.3">
      <c r="A9" s="21" t="s">
        <v>85</v>
      </c>
      <c r="B9" s="128">
        <f>+GETPIVOTDATA("Suma de APR. INICIAL",'TD-EPA'!$A$3,"TIPO","A","CTA","02")</f>
        <v>12676328868</v>
      </c>
      <c r="C9" s="128">
        <f>+GETPIVOTDATA("Suma de APR. VIGENTE",'TD-EPA'!$A$3,"TIPO","A","CTA","02")</f>
        <v>12676328868</v>
      </c>
      <c r="D9" s="22">
        <f>+GETPIVOTDATA("Suma de APR BLOQUEADA",'TD-EPA'!$A$3,"TIPO","A","CTA","02")</f>
        <v>0</v>
      </c>
      <c r="E9" s="23">
        <f t="shared" si="2"/>
        <v>0</v>
      </c>
      <c r="F9" s="22">
        <f>+GETPIVOTDATA("Suma de CDP",'TD-EPA'!$A$3,"TIPO","A","CTA","02")</f>
        <v>11007826984</v>
      </c>
      <c r="G9" s="23">
        <f t="shared" si="1"/>
        <v>0.86837657011156044</v>
      </c>
      <c r="H9" s="22">
        <f>+GETPIVOTDATA("Suma de COMPROMISO",'TD-EPA'!$A$3,"TIPO","A","CTA","02")</f>
        <v>10200301765.629999</v>
      </c>
      <c r="I9" s="23">
        <f t="shared" si="3"/>
        <v>0.80467317248131209</v>
      </c>
      <c r="J9" s="22">
        <f>+GETPIVOTDATA("Suma de OBLIGACION",'TD-EPA'!$A$3,"TIPO","A","CTA","02")</f>
        <v>3160174721.9099998</v>
      </c>
      <c r="K9" s="23">
        <f t="shared" si="4"/>
        <v>0.2492973127170528</v>
      </c>
      <c r="L9" s="22">
        <f>+GETPIVOTDATA("Suma de PAGOS",'TD-EPA'!$A$3,"TIPO","A","CTA","02")</f>
        <v>3153692320.9099998</v>
      </c>
      <c r="M9" s="23">
        <f t="shared" si="5"/>
        <v>0.24878593429925519</v>
      </c>
    </row>
    <row r="10" spans="1:13" ht="17.25" thickBot="1" x14ac:dyDescent="0.35">
      <c r="A10" s="25" t="s">
        <v>86</v>
      </c>
      <c r="B10" s="131">
        <f>+GETPIVOTDATA("Suma de APR. INICIAL",'TD-EPA'!$A$3,"TIPO","A","CTA","03")+GETPIVOTDATA("Suma de APR. INICIAL",'TD-EPA'!$A$3,"TIPO","A","CTA","08")</f>
        <v>7315355000</v>
      </c>
      <c r="C10" s="131">
        <f>+GETPIVOTDATA("Suma de APR. VIGENTE",'TD-EPA'!$A$3,"TIPO","A","CTA","03")+GETPIVOTDATA("Suma de APR. VIGENTE",'TD-EPA'!$A$3,"TIPO","A","CTA","08")</f>
        <v>7315355000</v>
      </c>
      <c r="D10" s="26">
        <f>+GETPIVOTDATA("Suma de APR BLOQUEADA",'TD-EPA'!$A$3,"TIPO","A","CTA","03")</f>
        <v>1446200000</v>
      </c>
      <c r="E10" s="27">
        <f t="shared" si="2"/>
        <v>0.19769375512193188</v>
      </c>
      <c r="F10" s="26">
        <f>+GETPIVOTDATA("Suma de CDP",'TD-EPA'!$A$3,"TIPO","A","CTA","03")</f>
        <v>1876403601</v>
      </c>
      <c r="G10" s="27">
        <f t="shared" si="1"/>
        <v>0.25650205642788354</v>
      </c>
      <c r="H10" s="26">
        <f>+GETPIVOTDATA("Suma de COMPROMISO",'TD-EPA'!$A$3,"TIPO","A","CTA","03")</f>
        <v>877197613.92000008</v>
      </c>
      <c r="I10" s="27">
        <f t="shared" si="3"/>
        <v>0.11991183119889604</v>
      </c>
      <c r="J10" s="26">
        <f>+GETPIVOTDATA("Suma de OBLIGACION",'TD-EPA'!$A$3,"TIPO","A","CTA","03")</f>
        <v>872788929.07999992</v>
      </c>
      <c r="K10" s="27">
        <f t="shared" si="4"/>
        <v>0.11930916942239986</v>
      </c>
      <c r="L10" s="26">
        <f>+GETPIVOTDATA("Suma de PAGOS",'TD-EPA'!$A$3,"TIPO","A","CTA","03")</f>
        <v>867751766.07999992</v>
      </c>
      <c r="M10" s="27">
        <f t="shared" si="5"/>
        <v>0.1186205954570899</v>
      </c>
    </row>
    <row r="11" spans="1:13" ht="17.25" thickBot="1" x14ac:dyDescent="0.35">
      <c r="A11" s="29" t="s">
        <v>87</v>
      </c>
      <c r="B11" s="134">
        <f>+GETPIVOTDATA("Suma de APR. INICIAL",'TD-EPA'!$A$3,"TIPO","C")</f>
        <v>161536218750</v>
      </c>
      <c r="C11" s="134">
        <f>+GETPIVOTDATA("Suma de APR. VIGENTE",'TD-EPA'!$A$3,"TIPO","C")</f>
        <v>165336840329</v>
      </c>
      <c r="D11" s="30">
        <f>+GETPIVOTDATA("Suma de APR BLOQUEADA",'TD-EPA'!$A$3,"TIPO","C")</f>
        <v>0</v>
      </c>
      <c r="E11" s="31">
        <f t="shared" si="2"/>
        <v>0</v>
      </c>
      <c r="F11" s="30">
        <f>+GETPIVOTDATA("Suma de CDP",'TD-EPA'!$A$3,"TIPO","C")</f>
        <v>112406761655.11</v>
      </c>
      <c r="G11" s="31">
        <f t="shared" si="1"/>
        <v>0.67986518571078502</v>
      </c>
      <c r="H11" s="30">
        <f>+GETPIVOTDATA("Suma de COMPROMISO",'TD-EPA'!$A$3,"TIPO","C")</f>
        <v>87167456910.880005</v>
      </c>
      <c r="I11" s="31">
        <f t="shared" si="3"/>
        <v>0.52721133860685543</v>
      </c>
      <c r="J11" s="30">
        <f>+GETPIVOTDATA("Suma de OBLIGACION",'TD-EPA'!$A$3,"TIPO","C")</f>
        <v>11310892326.9</v>
      </c>
      <c r="K11" s="31">
        <f t="shared" si="4"/>
        <v>6.8411204087320848E-2</v>
      </c>
      <c r="L11" s="30">
        <f>+GETPIVOTDATA("Suma de PAGOS",'TD-EPA'!$A$3,"TIPO","C")</f>
        <v>11296739532.9</v>
      </c>
      <c r="M11" s="31">
        <f t="shared" si="5"/>
        <v>6.8325604326421596E-2</v>
      </c>
    </row>
    <row r="12" spans="1:13" ht="15.75" thickBot="1" x14ac:dyDescent="0.3">
      <c r="A12" s="33" t="s">
        <v>60</v>
      </c>
      <c r="B12" s="34">
        <f>B7+B11</f>
        <v>240291898618</v>
      </c>
      <c r="C12" s="34">
        <f>C7+C11</f>
        <v>244092520197</v>
      </c>
      <c r="D12" s="35">
        <f t="shared" ref="D12:L12" si="6">D7+D11</f>
        <v>3316231000</v>
      </c>
      <c r="E12" s="36">
        <f t="shared" si="2"/>
        <v>1.3585959116336569E-2</v>
      </c>
      <c r="F12" s="37">
        <f t="shared" si="6"/>
        <v>182184957240.10999</v>
      </c>
      <c r="G12" s="38">
        <f t="shared" si="1"/>
        <v>0.74637664887508137</v>
      </c>
      <c r="H12" s="39">
        <f t="shared" si="6"/>
        <v>112668482889.42999</v>
      </c>
      <c r="I12" s="40">
        <f t="shared" si="3"/>
        <v>0.46158105458741022</v>
      </c>
      <c r="J12" s="41">
        <f t="shared" si="6"/>
        <v>29493872602.889999</v>
      </c>
      <c r="K12" s="42">
        <f t="shared" si="4"/>
        <v>0.12083071033510716</v>
      </c>
      <c r="L12" s="43">
        <f t="shared" si="6"/>
        <v>29400105044.889999</v>
      </c>
      <c r="M12" s="44">
        <f t="shared" si="5"/>
        <v>0.12044656272614182</v>
      </c>
    </row>
    <row r="13" spans="1:13" ht="15.75" thickBot="1" x14ac:dyDescent="0.3"/>
    <row r="14" spans="1:13" ht="15.75" thickBot="1" x14ac:dyDescent="0.3">
      <c r="A14" s="9" t="s">
        <v>68</v>
      </c>
      <c r="B14" s="9" t="s">
        <v>69</v>
      </c>
      <c r="C14" s="9" t="s">
        <v>70</v>
      </c>
      <c r="D14" s="10" t="s">
        <v>71</v>
      </c>
      <c r="E14" s="10" t="s">
        <v>72</v>
      </c>
      <c r="F14" s="15" t="s">
        <v>77</v>
      </c>
      <c r="G14" s="15" t="s">
        <v>78</v>
      </c>
      <c r="H14" s="16" t="s">
        <v>79</v>
      </c>
      <c r="I14" s="16" t="s">
        <v>80</v>
      </c>
      <c r="J14" s="17" t="s">
        <v>81</v>
      </c>
      <c r="K14" s="17" t="s">
        <v>82</v>
      </c>
    </row>
    <row r="15" spans="1:13" x14ac:dyDescent="0.25">
      <c r="A15" s="18" t="s">
        <v>83</v>
      </c>
      <c r="B15" s="19">
        <f>SUM(B16:B18)</f>
        <v>78755679868</v>
      </c>
      <c r="C15" s="19">
        <f>SUM(C16:C18)</f>
        <v>78755679868</v>
      </c>
      <c r="D15" s="19">
        <f>SUM(D16:D18)</f>
        <v>3316231000</v>
      </c>
      <c r="E15" s="20">
        <f>D15/C15</f>
        <v>4.2107832800862541E-2</v>
      </c>
      <c r="F15" s="19">
        <f t="shared" ref="F15" si="7">SUM(F16:F18)</f>
        <v>8977484283</v>
      </c>
      <c r="G15" s="20">
        <f t="shared" ref="G15:G20" si="8">F15/C7</f>
        <v>0.11399157874132873</v>
      </c>
      <c r="H15" s="19">
        <f t="shared" ref="H15" si="9">SUM(H16:H18)</f>
        <v>53254653889.450005</v>
      </c>
      <c r="I15" s="20">
        <f t="shared" ref="I15:I20" si="10">H15/C7</f>
        <v>0.67620080200829336</v>
      </c>
      <c r="J15" s="19">
        <f t="shared" ref="J15" si="11">SUM(J16:J18)</f>
        <v>60572699592.009995</v>
      </c>
      <c r="K15" s="20">
        <f t="shared" ref="K15:K20" si="12">J15/C7</f>
        <v>0.76912166453942188</v>
      </c>
    </row>
    <row r="16" spans="1:13" ht="16.5" x14ac:dyDescent="0.3">
      <c r="A16" s="21" t="s">
        <v>84</v>
      </c>
      <c r="B16" s="128">
        <f>+GETPIVOTDATA("Suma de APR. INICIAL",'TD-EPA'!$A$3,"TIPO","A","CTA","01")</f>
        <v>58763996000</v>
      </c>
      <c r="C16" s="128">
        <f>+GETPIVOTDATA("Suma de APR. VIGENTE",'TD-EPA'!$A$3,"TIPO","A","CTA","01")</f>
        <v>58763996000</v>
      </c>
      <c r="D16" s="22">
        <f>+GETPIVOTDATA("Suma de APR BLOQUEADA",'TD-EPA'!$A$3,"TIPO","A","CTA","01")</f>
        <v>1870031000</v>
      </c>
      <c r="E16" s="23">
        <f t="shared" ref="E16:E20" si="13">D16/C16</f>
        <v>3.1822733770521666E-2</v>
      </c>
      <c r="F16" s="24">
        <f>C8-F8</f>
        <v>1870031000</v>
      </c>
      <c r="G16" s="23">
        <f t="shared" si="8"/>
        <v>3.1822733770521666E-2</v>
      </c>
      <c r="H16" s="24">
        <f>C8-H8</f>
        <v>44340469401</v>
      </c>
      <c r="I16" s="23">
        <f t="shared" si="10"/>
        <v>0.75455163738354347</v>
      </c>
      <c r="J16" s="24">
        <f>C8-J8</f>
        <v>44613979375</v>
      </c>
      <c r="K16" s="23">
        <f t="shared" si="12"/>
        <v>0.75920601749070982</v>
      </c>
    </row>
    <row r="17" spans="1:11" ht="16.5" x14ac:dyDescent="0.3">
      <c r="A17" s="21" t="s">
        <v>85</v>
      </c>
      <c r="B17" s="128">
        <f>+GETPIVOTDATA("Suma de APR. INICIAL",'TD-EPA'!$A$3,"TIPO","A","CTA","02")</f>
        <v>12676328868</v>
      </c>
      <c r="C17" s="128">
        <f>+GETPIVOTDATA("Suma de APR. VIGENTE",'TD-EPA'!$A$3,"TIPO","A","CTA","02")</f>
        <v>12676328868</v>
      </c>
      <c r="D17" s="22">
        <f>+GETPIVOTDATA("Suma de APR BLOQUEADA",'TD-EPA'!$A$3,"TIPO","A","CTA","02")</f>
        <v>0</v>
      </c>
      <c r="E17" s="23">
        <f t="shared" si="13"/>
        <v>0</v>
      </c>
      <c r="F17" s="24">
        <f>C9-F9</f>
        <v>1668501884</v>
      </c>
      <c r="G17" s="23">
        <f t="shared" si="8"/>
        <v>0.13162342988843953</v>
      </c>
      <c r="H17" s="24">
        <f>C9-H9</f>
        <v>2476027102.3700008</v>
      </c>
      <c r="I17" s="23">
        <f t="shared" si="10"/>
        <v>0.19532682751868793</v>
      </c>
      <c r="J17" s="24">
        <f>C9-J9</f>
        <v>9516154146.0900002</v>
      </c>
      <c r="K17" s="23">
        <f t="shared" si="12"/>
        <v>0.7507026872829472</v>
      </c>
    </row>
    <row r="18" spans="1:11" ht="17.25" thickBot="1" x14ac:dyDescent="0.35">
      <c r="A18" s="25" t="s">
        <v>86</v>
      </c>
      <c r="B18" s="131">
        <f>+GETPIVOTDATA("Suma de APR. INICIAL",'TD-EPA'!$A$3,"TIPO","A","CTA","03")+GETPIVOTDATA("Suma de APR. INICIAL",'TD-EPA'!$A$3,"TIPO","A","CTA","08")</f>
        <v>7315355000</v>
      </c>
      <c r="C18" s="131">
        <f>+GETPIVOTDATA("Suma de APR. VIGENTE",'TD-EPA'!$A$3,"TIPO","A","CTA","03")+GETPIVOTDATA("Suma de APR. VIGENTE",'TD-EPA'!$A$3,"TIPO","A","CTA","08")</f>
        <v>7315355000</v>
      </c>
      <c r="D18" s="26">
        <f>+GETPIVOTDATA("Suma de APR BLOQUEADA",'TD-EPA'!$A$3,"TIPO","A","CTA","03")</f>
        <v>1446200000</v>
      </c>
      <c r="E18" s="27">
        <f t="shared" si="13"/>
        <v>0.19769375512193188</v>
      </c>
      <c r="F18" s="28">
        <f>C10-F10</f>
        <v>5438951399</v>
      </c>
      <c r="G18" s="27">
        <f t="shared" si="8"/>
        <v>0.7434979435721164</v>
      </c>
      <c r="H18" s="28">
        <f>C10-H10</f>
        <v>6438157386.0799999</v>
      </c>
      <c r="I18" s="27">
        <f t="shared" si="10"/>
        <v>0.88008816880110396</v>
      </c>
      <c r="J18" s="28">
        <f>C10-J10</f>
        <v>6442566070.9200001</v>
      </c>
      <c r="K18" s="27">
        <f t="shared" si="12"/>
        <v>0.88069083057760011</v>
      </c>
    </row>
    <row r="19" spans="1:11" ht="17.25" thickBot="1" x14ac:dyDescent="0.35">
      <c r="A19" s="29" t="s">
        <v>87</v>
      </c>
      <c r="B19" s="134">
        <f>+GETPIVOTDATA("Suma de APR. INICIAL",'TD-EPA'!$A$3,"TIPO","C")</f>
        <v>161536218750</v>
      </c>
      <c r="C19" s="134">
        <f>+GETPIVOTDATA("Suma de APR. VIGENTE",'TD-EPA'!$A$3,"TIPO","C")</f>
        <v>165336840329</v>
      </c>
      <c r="D19" s="30">
        <f>+GETPIVOTDATA("Suma de APR BLOQUEADA",'TD-EPA'!$A$3,"TIPO","C")</f>
        <v>0</v>
      </c>
      <c r="E19" s="31">
        <f t="shared" si="13"/>
        <v>0</v>
      </c>
      <c r="F19" s="32">
        <f>C11-F11</f>
        <v>52930078673.889999</v>
      </c>
      <c r="G19" s="31">
        <f t="shared" si="8"/>
        <v>0.32013481428921498</v>
      </c>
      <c r="H19" s="32">
        <f>C11-H11</f>
        <v>78169383418.119995</v>
      </c>
      <c r="I19" s="31">
        <f t="shared" si="10"/>
        <v>0.47278866139314457</v>
      </c>
      <c r="J19" s="32">
        <f>C11-J11</f>
        <v>154025948002.10001</v>
      </c>
      <c r="K19" s="31">
        <f t="shared" si="12"/>
        <v>0.93158879591267918</v>
      </c>
    </row>
    <row r="20" spans="1:11" ht="15.75" thickBot="1" x14ac:dyDescent="0.3">
      <c r="A20" s="33" t="s">
        <v>60</v>
      </c>
      <c r="B20" s="34">
        <f>B15+B19</f>
        <v>240291898618</v>
      </c>
      <c r="C20" s="34">
        <f>C15+C19</f>
        <v>244092520197</v>
      </c>
      <c r="D20" s="35">
        <f t="shared" ref="D20" si="14">D15+D19</f>
        <v>3316231000</v>
      </c>
      <c r="E20" s="36">
        <f t="shared" si="13"/>
        <v>1.3585959116336569E-2</v>
      </c>
      <c r="F20" s="45">
        <f t="shared" ref="F20" si="15">F15+F19</f>
        <v>61907562956.889999</v>
      </c>
      <c r="G20" s="46">
        <f t="shared" si="8"/>
        <v>0.25362335112491852</v>
      </c>
      <c r="H20" s="47">
        <f t="shared" ref="H20" si="16">H15+H19</f>
        <v>131424037307.57001</v>
      </c>
      <c r="I20" s="48">
        <f t="shared" si="10"/>
        <v>0.53841894541258972</v>
      </c>
      <c r="J20" s="49">
        <f t="shared" ref="J20" si="17">J15+J19</f>
        <v>214598647594.10999</v>
      </c>
      <c r="K20" s="50">
        <f t="shared" si="12"/>
        <v>0.87916928966489283</v>
      </c>
    </row>
    <row r="22" spans="1:11" ht="15.75" thickBot="1" x14ac:dyDescent="0.3"/>
    <row r="23" spans="1:11" ht="15.75" thickBot="1" x14ac:dyDescent="0.3">
      <c r="A23" s="52" t="s">
        <v>68</v>
      </c>
      <c r="B23" s="52" t="s">
        <v>90</v>
      </c>
      <c r="C23" s="52" t="s">
        <v>70</v>
      </c>
      <c r="D23" s="53" t="s">
        <v>65</v>
      </c>
      <c r="E23" s="54" t="s">
        <v>29</v>
      </c>
      <c r="F23" s="53" t="s">
        <v>74</v>
      </c>
      <c r="G23" s="54" t="s">
        <v>94</v>
      </c>
    </row>
    <row r="24" spans="1:11" x14ac:dyDescent="0.25">
      <c r="A24" s="256" t="s">
        <v>83</v>
      </c>
      <c r="B24" s="57" t="s">
        <v>91</v>
      </c>
      <c r="C24" s="64">
        <f t="shared" ref="C24:E26" si="18">+C27+C30+C33</f>
        <v>78755679868</v>
      </c>
      <c r="D24" s="64">
        <f t="shared" si="18"/>
        <v>25501025978.549995</v>
      </c>
      <c r="E24" s="64">
        <f t="shared" si="18"/>
        <v>18182980275.989998</v>
      </c>
      <c r="F24" s="73">
        <f>IFERROR(+D24/C24,0)</f>
        <v>0.32379919799170664</v>
      </c>
      <c r="G24" s="82">
        <f>+IFERROR(E24/C24,0)</f>
        <v>0.23087833546057807</v>
      </c>
    </row>
    <row r="25" spans="1:11" x14ac:dyDescent="0.25">
      <c r="A25" s="257"/>
      <c r="B25" s="55" t="s">
        <v>92</v>
      </c>
      <c r="C25" s="65">
        <v>0</v>
      </c>
      <c r="D25" s="65">
        <f t="shared" si="18"/>
        <v>0</v>
      </c>
      <c r="E25" s="65">
        <f t="shared" si="18"/>
        <v>0</v>
      </c>
      <c r="F25" s="74">
        <f t="shared" ref="F25:F42" si="19">IFERROR(+D25/C25,0)</f>
        <v>0</v>
      </c>
      <c r="G25" s="83">
        <f t="shared" ref="G25:G42" si="20">+IFERROR(E25/C25,0)</f>
        <v>0</v>
      </c>
    </row>
    <row r="26" spans="1:11" ht="15.75" thickBot="1" x14ac:dyDescent="0.3">
      <c r="A26" s="258"/>
      <c r="B26" s="58" t="s">
        <v>93</v>
      </c>
      <c r="C26" s="66">
        <f t="shared" si="18"/>
        <v>0</v>
      </c>
      <c r="D26" s="66">
        <f t="shared" si="18"/>
        <v>0</v>
      </c>
      <c r="E26" s="66">
        <f t="shared" si="18"/>
        <v>0</v>
      </c>
      <c r="F26" s="75">
        <f t="shared" si="19"/>
        <v>0</v>
      </c>
      <c r="G26" s="90">
        <f t="shared" si="20"/>
        <v>0</v>
      </c>
    </row>
    <row r="27" spans="1:11" x14ac:dyDescent="0.25">
      <c r="A27" s="259" t="s">
        <v>84</v>
      </c>
      <c r="B27" s="59" t="s">
        <v>91</v>
      </c>
      <c r="C27" s="67">
        <f>+GETPIVOTDATA("Suma de APR. VIGENTE",'TD-EPA RECURSO'!$A$3,"TIPO","A","CTA","01","REC","20")</f>
        <v>58763996000</v>
      </c>
      <c r="D27" s="67">
        <f>+GETPIVOTDATA("Suma de COMPROMISO",'TD-EPA RECURSO'!$A$3,"TIPO","A","CTA","01","REC","20")</f>
        <v>14423526599</v>
      </c>
      <c r="E27" s="67">
        <f>+GETPIVOTDATA("Suma de OBLIGACION",'TD-EPA RECURSO'!$A$3,"TIPO","A","CTA","01","REC","20")</f>
        <v>14150016625</v>
      </c>
      <c r="F27" s="76">
        <f t="shared" si="19"/>
        <v>0.2454483626164565</v>
      </c>
      <c r="G27" s="77">
        <f t="shared" si="20"/>
        <v>0.24079398250929021</v>
      </c>
    </row>
    <row r="28" spans="1:11" x14ac:dyDescent="0.25">
      <c r="A28" s="260"/>
      <c r="B28" s="56" t="s">
        <v>92</v>
      </c>
      <c r="C28" s="68">
        <v>0</v>
      </c>
      <c r="D28" s="68"/>
      <c r="E28" s="68"/>
      <c r="F28" s="78">
        <f t="shared" si="19"/>
        <v>0</v>
      </c>
      <c r="G28" s="79">
        <f t="shared" si="20"/>
        <v>0</v>
      </c>
    </row>
    <row r="29" spans="1:11" ht="15.75" thickBot="1" x14ac:dyDescent="0.3">
      <c r="A29" s="261"/>
      <c r="B29" s="60" t="s">
        <v>93</v>
      </c>
      <c r="C29" s="69">
        <v>0</v>
      </c>
      <c r="D29" s="69">
        <v>0</v>
      </c>
      <c r="E29" s="69">
        <v>0</v>
      </c>
      <c r="F29" s="80">
        <f t="shared" si="19"/>
        <v>0</v>
      </c>
      <c r="G29" s="81">
        <f t="shared" si="20"/>
        <v>0</v>
      </c>
    </row>
    <row r="30" spans="1:11" x14ac:dyDescent="0.25">
      <c r="A30" s="259" t="s">
        <v>85</v>
      </c>
      <c r="B30" s="59" t="s">
        <v>91</v>
      </c>
      <c r="C30" s="67">
        <f>+GETPIVOTDATA("Suma de APR. VIGENTE",'TD-EPA RECURSO'!$A$3,"TIPO","A","CTA","02","REC","20")</f>
        <v>12676328868</v>
      </c>
      <c r="D30" s="67">
        <f>+GETPIVOTDATA("Suma de COMPROMISO",'TD-EPA RECURSO'!$A$3,"TIPO","A","CTA","02","REC","20")</f>
        <v>10200301765.629999</v>
      </c>
      <c r="E30" s="67">
        <f>+GETPIVOTDATA("Suma de OBLIGACION",'TD-EPA RECURSO'!$A$3,"TIPO","A","CTA","02","REC","20")</f>
        <v>3160174721.9099998</v>
      </c>
      <c r="F30" s="76">
        <f t="shared" si="19"/>
        <v>0.80467317248131209</v>
      </c>
      <c r="G30" s="77">
        <f t="shared" si="20"/>
        <v>0.2492973127170528</v>
      </c>
    </row>
    <row r="31" spans="1:11" x14ac:dyDescent="0.25">
      <c r="A31" s="260"/>
      <c r="B31" s="56" t="s">
        <v>92</v>
      </c>
      <c r="C31" s="68">
        <v>0</v>
      </c>
      <c r="D31" s="68">
        <v>0</v>
      </c>
      <c r="E31" s="68">
        <v>0</v>
      </c>
      <c r="F31" s="78">
        <f t="shared" si="19"/>
        <v>0</v>
      </c>
      <c r="G31" s="79">
        <f t="shared" si="20"/>
        <v>0</v>
      </c>
    </row>
    <row r="32" spans="1:11" ht="15.75" thickBot="1" x14ac:dyDescent="0.3">
      <c r="A32" s="261"/>
      <c r="B32" s="60" t="s">
        <v>93</v>
      </c>
      <c r="C32" s="69">
        <v>0</v>
      </c>
      <c r="D32" s="69">
        <v>0</v>
      </c>
      <c r="E32" s="69">
        <v>0</v>
      </c>
      <c r="F32" s="80">
        <f t="shared" si="19"/>
        <v>0</v>
      </c>
      <c r="G32" s="81">
        <f t="shared" si="20"/>
        <v>0</v>
      </c>
    </row>
    <row r="33" spans="1:7" x14ac:dyDescent="0.25">
      <c r="A33" s="259" t="s">
        <v>86</v>
      </c>
      <c r="B33" s="59" t="s">
        <v>91</v>
      </c>
      <c r="C33" s="67">
        <f>+GETPIVOTDATA("Suma de APR. VIGENTE",'TD-EPA RECURSO'!$A$3,"TIPO","A","CTA","03","REC","20")+GETPIVOTDATA("Suma de APR. VIGENTE",'TD-EPA RECURSO'!$A$3,"TIPO","A","CTA","08","REC","20")</f>
        <v>7315355000</v>
      </c>
      <c r="D33" s="67">
        <f>+GETPIVOTDATA("Suma de COMPROMISO",'TD-EPA RECURSO'!$A$3,"TIPO","A","CTA","03","REC","20")</f>
        <v>877197613.92000008</v>
      </c>
      <c r="E33" s="67">
        <f>+GETPIVOTDATA("Suma de OBLIGACION",'TD-EPA RECURSO'!$A$3,"TIPO","A","CTA","03","REC","20")</f>
        <v>872788929.07999992</v>
      </c>
      <c r="F33" s="76">
        <f t="shared" si="19"/>
        <v>0.11991183119889604</v>
      </c>
      <c r="G33" s="77">
        <f t="shared" si="20"/>
        <v>0.11930916942239986</v>
      </c>
    </row>
    <row r="34" spans="1:7" x14ac:dyDescent="0.25">
      <c r="A34" s="260"/>
      <c r="B34" s="56" t="s">
        <v>92</v>
      </c>
      <c r="C34" s="68">
        <v>0</v>
      </c>
      <c r="D34" s="68">
        <v>0</v>
      </c>
      <c r="E34" s="68">
        <v>0</v>
      </c>
      <c r="F34" s="78">
        <f t="shared" si="19"/>
        <v>0</v>
      </c>
      <c r="G34" s="79">
        <f t="shared" si="20"/>
        <v>0</v>
      </c>
    </row>
    <row r="35" spans="1:7" ht="15.75" thickBot="1" x14ac:dyDescent="0.3">
      <c r="A35" s="261"/>
      <c r="B35" s="60" t="s">
        <v>93</v>
      </c>
      <c r="C35" s="69">
        <v>0</v>
      </c>
      <c r="D35" s="69">
        <v>0</v>
      </c>
      <c r="E35" s="69">
        <v>0</v>
      </c>
      <c r="F35" s="80">
        <f t="shared" si="19"/>
        <v>0</v>
      </c>
      <c r="G35" s="81">
        <f t="shared" si="20"/>
        <v>0</v>
      </c>
    </row>
    <row r="36" spans="1:7" x14ac:dyDescent="0.25">
      <c r="A36" s="256" t="s">
        <v>87</v>
      </c>
      <c r="B36" s="57" t="s">
        <v>91</v>
      </c>
      <c r="C36" s="64">
        <f>+GETPIVOTDATA("Suma de APR. VIGENTE",'TD-EPA RECURSO'!$A$3,"TIPO","C","CTA","3503","REC","20")+GETPIVOTDATA("Suma de APR. VIGENTE",'TD-EPA RECURSO'!$A$3,"TIPO","C","CTA","3599","REC","20")</f>
        <v>107813459022</v>
      </c>
      <c r="D36" s="64">
        <f>+GETPIVOTDATA("Suma de COMPROMISO",'TD-EPA RECURSO'!$A$3,"TIPO","C","CTA","3503","REC","20")+GETPIVOTDATA("Suma de COMPROMISO",'TD-EPA RECURSO'!$A$3,"TIPO","C","CTA","3599","REC","20")</f>
        <v>67658498844.279999</v>
      </c>
      <c r="E36" s="64">
        <f>+GETPIVOTDATA("Suma de OBLIGACION",'TD-EPA RECURSO'!$A$3,"TIPO","C","CTA","3503","REC","20")+GETPIVOTDATA("Suma de OBLIGACION",'TD-EPA RECURSO'!$A$3,"TIPO","C","CTA","3599","REC","20")</f>
        <v>9665579228.8999996</v>
      </c>
      <c r="F36" s="73">
        <f t="shared" si="19"/>
        <v>0.62755150848535401</v>
      </c>
      <c r="G36" s="82">
        <f t="shared" si="20"/>
        <v>8.9650951899499662E-2</v>
      </c>
    </row>
    <row r="37" spans="1:7" x14ac:dyDescent="0.25">
      <c r="A37" s="257"/>
      <c r="B37" s="55" t="s">
        <v>92</v>
      </c>
      <c r="C37" s="65">
        <f>+GETPIVOTDATA("Suma de APR. VIGENTE",'TD-EPA RECURSO'!$A$3,"TIPO","C","CTA","3503","REC","21")+GETPIVOTDATA("Suma de APR. VIGENTE",'TD-EPA RECURSO'!$A$3,"TIPO","C","CTA","3599","REC","21")</f>
        <v>57175494479</v>
      </c>
      <c r="D37" s="65">
        <f>+GETPIVOTDATA("Suma de COMPROMISO",'TD-EPA RECURSO'!$A$3,"TIPO","C","CTA","3503","REC","21")+GETPIVOTDATA("Suma de COMPROMISO",'TD-EPA RECURSO'!$A$3,"TIPO","C","CTA","3599","REC","21")</f>
        <v>19257693044.599998</v>
      </c>
      <c r="E37" s="65">
        <f>+GETPIVOTDATA("Suma de OBLIGACION",'TD-EPA RECURSO'!$A$3,"TIPO","C","CTA","3503","REC","21")+GETPIVOTDATA("Suma de OBLIGACION",'TD-EPA RECURSO'!$A$3,"TIPO","C","CTA","3599","REC","21")</f>
        <v>1593847098</v>
      </c>
      <c r="F37" s="74">
        <f t="shared" si="19"/>
        <v>0.33681725396661261</v>
      </c>
      <c r="G37" s="83">
        <f t="shared" si="20"/>
        <v>2.7876402513412533E-2</v>
      </c>
    </row>
    <row r="38" spans="1:7" ht="15.75" thickBot="1" x14ac:dyDescent="0.3">
      <c r="A38" s="258"/>
      <c r="B38" s="58" t="s">
        <v>93</v>
      </c>
      <c r="C38" s="66">
        <f>+GETPIVOTDATA("Suma de APR. VIGENTE",'TD-EPA RECURSO'!$A$3,"TIPO","C","CTA","3503","REC","11")+GETPIVOTDATA("Suma de APR. VIGENTE",'TD-EPA RECURSO'!$A$3,"TIPO","C","CTA","3599","REC","11")</f>
        <v>347886828</v>
      </c>
      <c r="D38" s="66">
        <f>+GETPIVOTDATA("Suma de COMPROMISO",'TD-EPA RECURSO'!$A$3,"TIPO","C","CTA","3503","REC","11")+GETPIVOTDATA("Suma de COMPROMISO",'TD-EPA RECURSO'!$A$3,"TIPO","C","CTA","3599","REC","11")</f>
        <v>251265022</v>
      </c>
      <c r="E38" s="66">
        <f>+GETPIVOTDATA("Suma de OBLIGACION",'TD-EPA RECURSO'!$A$3,"TIPO","C","CTA","3503","REC","11")+GETPIVOTDATA("Suma de OBLIGACION",'TD-EPA RECURSO'!$A$3,"TIPO","C","CTA","3599","REC","11")</f>
        <v>51466000</v>
      </c>
      <c r="F38" s="75">
        <f t="shared" si="19"/>
        <v>0.72226080948370941</v>
      </c>
      <c r="G38" s="90">
        <f t="shared" si="20"/>
        <v>0.14793891535324241</v>
      </c>
    </row>
    <row r="39" spans="1:7" x14ac:dyDescent="0.25">
      <c r="A39" s="262" t="s">
        <v>95</v>
      </c>
      <c r="B39" s="62" t="s">
        <v>91</v>
      </c>
      <c r="C39" s="70">
        <f>+C24+C36</f>
        <v>186569138890</v>
      </c>
      <c r="D39" s="70">
        <f t="shared" ref="C39:E41" si="21">+D24+D36</f>
        <v>93159524822.829987</v>
      </c>
      <c r="E39" s="70">
        <f t="shared" si="21"/>
        <v>27848559504.889999</v>
      </c>
      <c r="F39" s="84">
        <f t="shared" si="19"/>
        <v>0.49932976791920697</v>
      </c>
      <c r="G39" s="85">
        <f t="shared" si="20"/>
        <v>0.14926669904023804</v>
      </c>
    </row>
    <row r="40" spans="1:7" x14ac:dyDescent="0.25">
      <c r="A40" s="263"/>
      <c r="B40" s="61" t="s">
        <v>92</v>
      </c>
      <c r="C40" s="71">
        <f>+C25+C37</f>
        <v>57175494479</v>
      </c>
      <c r="D40" s="71">
        <f t="shared" si="21"/>
        <v>19257693044.599998</v>
      </c>
      <c r="E40" s="71">
        <f t="shared" si="21"/>
        <v>1593847098</v>
      </c>
      <c r="F40" s="86">
        <f t="shared" si="19"/>
        <v>0.33681725396661261</v>
      </c>
      <c r="G40" s="87">
        <f t="shared" si="20"/>
        <v>2.7876402513412533E-2</v>
      </c>
    </row>
    <row r="41" spans="1:7" ht="15.75" thickBot="1" x14ac:dyDescent="0.3">
      <c r="A41" s="264"/>
      <c r="B41" s="63" t="s">
        <v>93</v>
      </c>
      <c r="C41" s="72">
        <f t="shared" si="21"/>
        <v>347886828</v>
      </c>
      <c r="D41" s="72">
        <f t="shared" si="21"/>
        <v>251265022</v>
      </c>
      <c r="E41" s="72">
        <f t="shared" si="21"/>
        <v>51466000</v>
      </c>
      <c r="F41" s="88">
        <f t="shared" si="19"/>
        <v>0.72226080948370941</v>
      </c>
      <c r="G41" s="89">
        <f t="shared" si="20"/>
        <v>0.14793891535324241</v>
      </c>
    </row>
    <row r="42" spans="1:7" ht="15.75" thickBot="1" x14ac:dyDescent="0.3">
      <c r="A42" s="254" t="s">
        <v>60</v>
      </c>
      <c r="B42" s="255"/>
      <c r="C42" s="91">
        <f>SUM(C39:C41)</f>
        <v>244092520197</v>
      </c>
      <c r="D42" s="91">
        <f>SUM(D39:D41)</f>
        <v>112668482889.42999</v>
      </c>
      <c r="E42" s="91">
        <f>SUM(E39:E41)</f>
        <v>29493872602.889999</v>
      </c>
      <c r="F42" s="92">
        <f t="shared" si="19"/>
        <v>0.46158105458741022</v>
      </c>
      <c r="G42" s="93">
        <f t="shared" si="20"/>
        <v>0.12083071033510716</v>
      </c>
    </row>
  </sheetData>
  <mergeCells count="7">
    <mergeCell ref="A42:B42"/>
    <mergeCell ref="A24:A26"/>
    <mergeCell ref="A27:A29"/>
    <mergeCell ref="A30:A32"/>
    <mergeCell ref="A33:A35"/>
    <mergeCell ref="A36:A38"/>
    <mergeCell ref="A39:A4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39"/>
  <sheetViews>
    <sheetView workbookViewId="0">
      <selection activeCell="D10" sqref="D10"/>
    </sheetView>
  </sheetViews>
  <sheetFormatPr baseColWidth="10" defaultRowHeight="15" x14ac:dyDescent="0.25"/>
  <cols>
    <col min="1" max="1" width="17.5703125" style="4" customWidth="1"/>
    <col min="2" max="2" width="22.42578125" style="51" customWidth="1"/>
    <col min="3" max="3" width="19.140625" style="51" customWidth="1"/>
    <col min="4" max="4" width="17.85546875" style="51" customWidth="1"/>
    <col min="5" max="5" width="18.85546875" style="51" customWidth="1"/>
    <col min="6" max="6" width="19.140625" style="51" customWidth="1"/>
    <col min="7" max="7" width="17.85546875" style="51" customWidth="1"/>
    <col min="8" max="8" width="21.5703125" style="51" customWidth="1"/>
    <col min="9" max="9" width="22.28515625" style="51" customWidth="1"/>
    <col min="10" max="10" width="20.42578125" style="51" customWidth="1"/>
    <col min="11" max="11" width="23" style="51" customWidth="1"/>
    <col min="12" max="12" width="23.28515625" style="51" customWidth="1"/>
    <col min="13" max="13" width="22" style="51" customWidth="1"/>
    <col min="14" max="14" width="23" style="5" customWidth="1"/>
    <col min="15" max="15" width="23.28515625" style="5" customWidth="1"/>
    <col min="16" max="16" width="22" style="5" customWidth="1"/>
    <col min="17" max="21" width="20" style="5" customWidth="1"/>
  </cols>
  <sheetData>
    <row r="3" spans="1:21" x14ac:dyDescent="0.25">
      <c r="A3"/>
      <c r="B3" s="94" t="s">
        <v>61</v>
      </c>
      <c r="C3"/>
      <c r="D3"/>
      <c r="E3"/>
      <c r="F3"/>
      <c r="G3"/>
      <c r="H3"/>
      <c r="I3"/>
      <c r="J3"/>
      <c r="K3"/>
      <c r="L3"/>
      <c r="M3"/>
      <c r="N3"/>
      <c r="O3"/>
      <c r="P3"/>
      <c r="Q3"/>
      <c r="R3"/>
      <c r="S3"/>
      <c r="T3"/>
      <c r="U3"/>
    </row>
    <row r="4" spans="1:21" x14ac:dyDescent="0.25">
      <c r="A4"/>
      <c r="B4" s="178" t="s">
        <v>36</v>
      </c>
      <c r="C4" s="178"/>
      <c r="D4" s="179"/>
      <c r="E4" s="178" t="s">
        <v>48</v>
      </c>
      <c r="F4" s="178"/>
      <c r="G4" s="179"/>
      <c r="H4" s="172" t="s">
        <v>189</v>
      </c>
      <c r="I4" s="172"/>
      <c r="J4" s="172"/>
      <c r="K4" s="172" t="s">
        <v>62</v>
      </c>
      <c r="L4" s="172" t="s">
        <v>63</v>
      </c>
      <c r="M4" s="172" t="s">
        <v>64</v>
      </c>
      <c r="N4"/>
      <c r="O4"/>
      <c r="P4"/>
      <c r="Q4"/>
      <c r="R4"/>
      <c r="S4"/>
      <c r="T4"/>
      <c r="U4"/>
    </row>
    <row r="5" spans="1:21" x14ac:dyDescent="0.25">
      <c r="A5" s="2" t="s">
        <v>53</v>
      </c>
      <c r="B5" s="178" t="s">
        <v>56</v>
      </c>
      <c r="C5" s="178" t="s">
        <v>57</v>
      </c>
      <c r="D5" s="179" t="s">
        <v>58</v>
      </c>
      <c r="E5" s="178" t="s">
        <v>56</v>
      </c>
      <c r="F5" s="178" t="s">
        <v>57</v>
      </c>
      <c r="G5" s="179" t="s">
        <v>58</v>
      </c>
      <c r="H5" t="s">
        <v>56</v>
      </c>
      <c r="I5" t="s">
        <v>57</v>
      </c>
      <c r="J5" t="s">
        <v>58</v>
      </c>
      <c r="K5" s="172"/>
      <c r="L5" s="172"/>
      <c r="M5" s="172"/>
      <c r="N5"/>
      <c r="O5"/>
      <c r="P5"/>
      <c r="Q5"/>
      <c r="R5"/>
      <c r="S5"/>
      <c r="T5"/>
      <c r="U5"/>
    </row>
    <row r="6" spans="1:21" x14ac:dyDescent="0.25">
      <c r="A6" s="3" t="s">
        <v>34</v>
      </c>
      <c r="B6" s="173">
        <v>78755679868</v>
      </c>
      <c r="C6" s="173">
        <v>25503921270.549995</v>
      </c>
      <c r="D6" s="174">
        <v>18185875567.989998</v>
      </c>
      <c r="E6" s="173"/>
      <c r="F6" s="173"/>
      <c r="G6" s="174"/>
      <c r="H6" s="172"/>
      <c r="I6" s="172"/>
      <c r="J6" s="172"/>
      <c r="K6" s="172">
        <v>78755679868</v>
      </c>
      <c r="L6" s="172">
        <v>25503921270.549995</v>
      </c>
      <c r="M6" s="172">
        <v>18185875567.989998</v>
      </c>
      <c r="N6"/>
      <c r="O6"/>
      <c r="P6"/>
      <c r="Q6"/>
      <c r="R6"/>
      <c r="S6"/>
      <c r="T6"/>
      <c r="U6"/>
    </row>
    <row r="7" spans="1:21" x14ac:dyDescent="0.25">
      <c r="A7" s="3" t="s">
        <v>145</v>
      </c>
      <c r="B7" s="172">
        <v>58763996000</v>
      </c>
      <c r="C7" s="172">
        <v>14423526599</v>
      </c>
      <c r="D7" s="175">
        <v>14150016625</v>
      </c>
      <c r="E7" s="172"/>
      <c r="F7" s="172"/>
      <c r="G7" s="175"/>
      <c r="H7" s="172"/>
      <c r="I7" s="172"/>
      <c r="J7" s="172"/>
      <c r="K7" s="172">
        <v>58763996000</v>
      </c>
      <c r="L7" s="172">
        <v>14423526599</v>
      </c>
      <c r="M7" s="172">
        <v>14150016625</v>
      </c>
      <c r="N7"/>
      <c r="O7"/>
      <c r="P7"/>
      <c r="Q7"/>
      <c r="R7"/>
      <c r="S7"/>
      <c r="T7"/>
      <c r="U7"/>
    </row>
    <row r="8" spans="1:21" x14ac:dyDescent="0.25">
      <c r="A8" s="3" t="s">
        <v>148</v>
      </c>
      <c r="B8" s="172">
        <v>12676328868</v>
      </c>
      <c r="C8" s="172">
        <v>10200301765.629999</v>
      </c>
      <c r="D8" s="175">
        <v>3160174721.9099998</v>
      </c>
      <c r="E8" s="172"/>
      <c r="F8" s="172"/>
      <c r="G8" s="175"/>
      <c r="H8" s="172"/>
      <c r="I8" s="172"/>
      <c r="J8" s="172"/>
      <c r="K8" s="172">
        <v>12676328868</v>
      </c>
      <c r="L8" s="172">
        <v>10200301765.629999</v>
      </c>
      <c r="M8" s="172">
        <v>3160174721.9099998</v>
      </c>
      <c r="N8"/>
      <c r="O8"/>
      <c r="P8"/>
      <c r="Q8"/>
      <c r="R8"/>
      <c r="S8"/>
      <c r="T8"/>
      <c r="U8"/>
    </row>
    <row r="9" spans="1:21" x14ac:dyDescent="0.25">
      <c r="A9" s="3" t="s">
        <v>151</v>
      </c>
      <c r="B9" s="172">
        <v>7027097000</v>
      </c>
      <c r="C9" s="172">
        <v>877197613.92000008</v>
      </c>
      <c r="D9" s="175">
        <v>872788929.07999992</v>
      </c>
      <c r="E9" s="172"/>
      <c r="F9" s="172"/>
      <c r="G9" s="175"/>
      <c r="H9" s="172"/>
      <c r="I9" s="172"/>
      <c r="J9" s="172"/>
      <c r="K9" s="172">
        <v>7027097000</v>
      </c>
      <c r="L9" s="172">
        <v>877197613.92000008</v>
      </c>
      <c r="M9" s="172">
        <v>872788929.07999992</v>
      </c>
      <c r="N9"/>
      <c r="O9"/>
      <c r="P9"/>
      <c r="Q9"/>
      <c r="R9"/>
      <c r="S9"/>
      <c r="T9"/>
      <c r="U9"/>
    </row>
    <row r="10" spans="1:21" x14ac:dyDescent="0.25">
      <c r="A10" s="3" t="s">
        <v>181</v>
      </c>
      <c r="B10" s="172">
        <v>288258000</v>
      </c>
      <c r="C10" s="172">
        <v>2895292</v>
      </c>
      <c r="D10" s="175">
        <v>2895292</v>
      </c>
      <c r="E10" s="172"/>
      <c r="F10" s="172"/>
      <c r="G10" s="175"/>
      <c r="H10" s="172"/>
      <c r="I10" s="172"/>
      <c r="J10" s="172"/>
      <c r="K10" s="172">
        <v>288258000</v>
      </c>
      <c r="L10" s="172">
        <v>2895292</v>
      </c>
      <c r="M10" s="172">
        <v>2895292</v>
      </c>
      <c r="N10"/>
      <c r="O10"/>
      <c r="P10"/>
      <c r="Q10"/>
      <c r="R10"/>
      <c r="S10"/>
      <c r="T10"/>
      <c r="U10"/>
    </row>
    <row r="11" spans="1:21" x14ac:dyDescent="0.25">
      <c r="A11" s="3" t="s">
        <v>45</v>
      </c>
      <c r="B11" s="172">
        <v>107813459022</v>
      </c>
      <c r="C11" s="172">
        <v>67658498844.279999</v>
      </c>
      <c r="D11" s="175">
        <v>9665579228.8999996</v>
      </c>
      <c r="E11" s="172">
        <v>57175494479</v>
      </c>
      <c r="F11" s="172">
        <v>19257693044.599998</v>
      </c>
      <c r="G11" s="175">
        <v>1593847098</v>
      </c>
      <c r="H11" s="172">
        <v>347886828</v>
      </c>
      <c r="I11" s="172">
        <v>251265022</v>
      </c>
      <c r="J11" s="172">
        <v>51466000</v>
      </c>
      <c r="K11" s="172">
        <v>165336840329</v>
      </c>
      <c r="L11" s="172">
        <v>87167456910.880005</v>
      </c>
      <c r="M11" s="172">
        <v>11310892326.9</v>
      </c>
      <c r="N11"/>
      <c r="O11"/>
      <c r="P11"/>
      <c r="Q11"/>
      <c r="R11"/>
      <c r="S11"/>
      <c r="T11"/>
      <c r="U11"/>
    </row>
    <row r="12" spans="1:21" x14ac:dyDescent="0.25">
      <c r="A12" s="1" t="s">
        <v>46</v>
      </c>
      <c r="B12" s="172">
        <v>76881940125</v>
      </c>
      <c r="C12" s="172">
        <v>49457008578</v>
      </c>
      <c r="D12" s="175">
        <v>8149665491.3299999</v>
      </c>
      <c r="E12" s="172"/>
      <c r="F12" s="172"/>
      <c r="G12" s="175"/>
      <c r="H12" s="172">
        <v>347886828</v>
      </c>
      <c r="I12" s="172">
        <v>251265022</v>
      </c>
      <c r="J12" s="172">
        <v>51466000</v>
      </c>
      <c r="K12" s="172">
        <v>77229826953</v>
      </c>
      <c r="L12" s="172">
        <v>49708273600</v>
      </c>
      <c r="M12" s="172">
        <v>8201131491.3299999</v>
      </c>
      <c r="N12"/>
      <c r="O12"/>
      <c r="P12"/>
      <c r="Q12"/>
      <c r="R12"/>
      <c r="S12"/>
      <c r="T12"/>
      <c r="U12"/>
    </row>
    <row r="13" spans="1:21" x14ac:dyDescent="0.25">
      <c r="A13" s="1" t="s">
        <v>52</v>
      </c>
      <c r="B13" s="172">
        <v>30931518897</v>
      </c>
      <c r="C13" s="172">
        <v>18201490266.279999</v>
      </c>
      <c r="D13" s="175">
        <v>1515913737.5700002</v>
      </c>
      <c r="E13" s="172">
        <v>57175494479</v>
      </c>
      <c r="F13" s="172">
        <v>19257693044.599998</v>
      </c>
      <c r="G13" s="175">
        <v>1593847098</v>
      </c>
      <c r="H13" s="172"/>
      <c r="I13" s="172"/>
      <c r="J13" s="172"/>
      <c r="K13" s="172">
        <v>88107013376</v>
      </c>
      <c r="L13" s="172">
        <v>37459183310.879997</v>
      </c>
      <c r="M13" s="172">
        <v>3109760835.5700002</v>
      </c>
      <c r="N13"/>
      <c r="O13"/>
      <c r="P13"/>
      <c r="Q13"/>
      <c r="R13"/>
      <c r="S13"/>
      <c r="T13"/>
      <c r="U13"/>
    </row>
    <row r="14" spans="1:21" x14ac:dyDescent="0.25">
      <c r="A14" s="3" t="s">
        <v>54</v>
      </c>
      <c r="B14" s="176">
        <v>186569138890</v>
      </c>
      <c r="C14" s="176">
        <v>93162420114.829987</v>
      </c>
      <c r="D14" s="177">
        <v>27851454796.889999</v>
      </c>
      <c r="E14" s="176">
        <v>57175494479</v>
      </c>
      <c r="F14" s="176">
        <v>19257693044.599998</v>
      </c>
      <c r="G14" s="177">
        <v>1593847098</v>
      </c>
      <c r="H14" s="172">
        <v>347886828</v>
      </c>
      <c r="I14" s="172">
        <v>251265022</v>
      </c>
      <c r="J14" s="172">
        <v>51466000</v>
      </c>
      <c r="K14" s="172">
        <v>244092520197</v>
      </c>
      <c r="L14" s="172">
        <v>112671378181.42999</v>
      </c>
      <c r="M14" s="172">
        <v>29496767894.889999</v>
      </c>
      <c r="N14"/>
      <c r="O14"/>
      <c r="P14"/>
      <c r="Q14"/>
      <c r="R14"/>
      <c r="S14"/>
      <c r="T14"/>
      <c r="U14"/>
    </row>
    <row r="15" spans="1:21" x14ac:dyDescent="0.25">
      <c r="A15"/>
      <c r="B15"/>
      <c r="C15"/>
      <c r="D15"/>
      <c r="E15"/>
      <c r="F15"/>
      <c r="G15"/>
      <c r="H15"/>
      <c r="I15"/>
      <c r="J15"/>
      <c r="K15"/>
      <c r="L15"/>
      <c r="M15"/>
      <c r="N15"/>
      <c r="O15"/>
      <c r="P15"/>
      <c r="Q15"/>
      <c r="R15"/>
      <c r="S15"/>
      <c r="T15"/>
      <c r="U15"/>
    </row>
    <row r="16" spans="1:21" x14ac:dyDescent="0.25">
      <c r="A16"/>
      <c r="N16"/>
      <c r="O16"/>
      <c r="P16"/>
      <c r="Q16"/>
      <c r="R16"/>
      <c r="S16"/>
      <c r="T16"/>
      <c r="U16"/>
    </row>
    <row r="17" spans="1:21" x14ac:dyDescent="0.25">
      <c r="A17"/>
      <c r="N17"/>
      <c r="O17"/>
      <c r="P17"/>
      <c r="Q17"/>
      <c r="R17"/>
      <c r="S17"/>
      <c r="T17"/>
      <c r="U17"/>
    </row>
    <row r="18" spans="1:21" x14ac:dyDescent="0.25">
      <c r="A18"/>
      <c r="N18"/>
      <c r="O18"/>
      <c r="P18"/>
      <c r="Q18"/>
      <c r="R18"/>
      <c r="S18"/>
      <c r="T18"/>
      <c r="U18"/>
    </row>
    <row r="19" spans="1:21" x14ac:dyDescent="0.25">
      <c r="A19"/>
      <c r="N19"/>
      <c r="O19"/>
      <c r="P19"/>
      <c r="Q19"/>
      <c r="R19"/>
      <c r="S19"/>
      <c r="T19"/>
      <c r="U19"/>
    </row>
    <row r="20" spans="1:21" x14ac:dyDescent="0.25">
      <c r="A20"/>
      <c r="N20"/>
      <c r="O20"/>
      <c r="P20"/>
      <c r="Q20"/>
      <c r="R20"/>
      <c r="S20"/>
      <c r="T20"/>
      <c r="U20"/>
    </row>
    <row r="21" spans="1:21" x14ac:dyDescent="0.25">
      <c r="A21"/>
      <c r="N21"/>
      <c r="O21"/>
      <c r="P21"/>
      <c r="Q21"/>
      <c r="R21"/>
      <c r="S21"/>
      <c r="T21"/>
      <c r="U21"/>
    </row>
    <row r="22" spans="1:21" x14ac:dyDescent="0.25">
      <c r="A22"/>
      <c r="N22"/>
      <c r="O22"/>
      <c r="P22"/>
      <c r="Q22"/>
      <c r="R22"/>
      <c r="S22"/>
      <c r="T22"/>
      <c r="U22"/>
    </row>
    <row r="23" spans="1:21" x14ac:dyDescent="0.25">
      <c r="A23"/>
      <c r="N23"/>
      <c r="O23"/>
      <c r="P23"/>
      <c r="Q23"/>
      <c r="R23"/>
      <c r="S23"/>
      <c r="T23"/>
      <c r="U23"/>
    </row>
    <row r="24" spans="1:21" x14ac:dyDescent="0.25">
      <c r="A24"/>
      <c r="N24"/>
      <c r="O24"/>
      <c r="P24"/>
      <c r="Q24"/>
      <c r="R24"/>
      <c r="S24"/>
      <c r="T24"/>
      <c r="U24"/>
    </row>
    <row r="25" spans="1:21" x14ac:dyDescent="0.25">
      <c r="A25"/>
      <c r="N25"/>
      <c r="O25"/>
      <c r="P25"/>
      <c r="Q25"/>
      <c r="R25"/>
      <c r="S25"/>
      <c r="T25"/>
      <c r="U25"/>
    </row>
    <row r="26" spans="1:21" x14ac:dyDescent="0.25">
      <c r="A26"/>
      <c r="N26"/>
      <c r="O26"/>
      <c r="P26"/>
      <c r="Q26"/>
      <c r="R26"/>
      <c r="S26"/>
      <c r="T26"/>
      <c r="U26"/>
    </row>
    <row r="27" spans="1:21" x14ac:dyDescent="0.25">
      <c r="A27"/>
      <c r="N27"/>
      <c r="O27"/>
      <c r="P27"/>
      <c r="Q27"/>
      <c r="R27"/>
      <c r="S27"/>
      <c r="T27"/>
      <c r="U27"/>
    </row>
    <row r="28" spans="1:21" x14ac:dyDescent="0.25">
      <c r="A28"/>
      <c r="N28"/>
      <c r="O28"/>
      <c r="P28"/>
      <c r="Q28"/>
      <c r="R28"/>
      <c r="S28"/>
      <c r="T28"/>
      <c r="U28"/>
    </row>
    <row r="29" spans="1:21" x14ac:dyDescent="0.25">
      <c r="A29"/>
      <c r="N29"/>
      <c r="O29"/>
      <c r="P29"/>
      <c r="Q29"/>
      <c r="R29"/>
      <c r="S29"/>
      <c r="T29"/>
      <c r="U29"/>
    </row>
    <row r="30" spans="1:21" x14ac:dyDescent="0.25">
      <c r="A30"/>
      <c r="N30"/>
      <c r="O30"/>
      <c r="P30"/>
      <c r="Q30"/>
      <c r="R30"/>
      <c r="S30"/>
      <c r="T30"/>
      <c r="U30"/>
    </row>
    <row r="31" spans="1:21" x14ac:dyDescent="0.25">
      <c r="A31"/>
      <c r="N31"/>
      <c r="O31"/>
      <c r="P31"/>
      <c r="Q31"/>
      <c r="R31"/>
      <c r="S31"/>
      <c r="T31"/>
      <c r="U31"/>
    </row>
    <row r="32" spans="1:21" x14ac:dyDescent="0.25">
      <c r="A32"/>
      <c r="N32"/>
      <c r="O32"/>
      <c r="P32"/>
      <c r="Q32"/>
      <c r="R32"/>
      <c r="S32"/>
      <c r="T32"/>
      <c r="U32"/>
    </row>
    <row r="33" spans="1:21" x14ac:dyDescent="0.25">
      <c r="A33"/>
      <c r="N33"/>
      <c r="O33"/>
      <c r="P33"/>
      <c r="Q33"/>
      <c r="R33"/>
      <c r="S33"/>
      <c r="T33"/>
      <c r="U33"/>
    </row>
    <row r="34" spans="1:21" x14ac:dyDescent="0.25">
      <c r="A34"/>
      <c r="N34"/>
      <c r="O34"/>
      <c r="P34"/>
      <c r="Q34"/>
      <c r="R34"/>
      <c r="S34"/>
      <c r="T34"/>
      <c r="U34"/>
    </row>
    <row r="35" spans="1:21" x14ac:dyDescent="0.25">
      <c r="A35"/>
      <c r="N35"/>
      <c r="O35"/>
      <c r="P35"/>
      <c r="Q35"/>
      <c r="R35"/>
      <c r="S35"/>
      <c r="T35"/>
      <c r="U35"/>
    </row>
    <row r="36" spans="1:21" x14ac:dyDescent="0.25">
      <c r="A36"/>
      <c r="N36"/>
      <c r="O36"/>
      <c r="P36"/>
      <c r="Q36"/>
      <c r="R36"/>
      <c r="S36"/>
      <c r="T36"/>
      <c r="U36"/>
    </row>
    <row r="37" spans="1:21" x14ac:dyDescent="0.25">
      <c r="A37"/>
      <c r="N37"/>
      <c r="O37"/>
      <c r="P37"/>
      <c r="Q37"/>
      <c r="R37"/>
      <c r="S37"/>
      <c r="T37"/>
      <c r="U37"/>
    </row>
    <row r="38" spans="1:21" x14ac:dyDescent="0.25">
      <c r="N38"/>
      <c r="O38"/>
      <c r="P38"/>
      <c r="Q38"/>
      <c r="R38"/>
      <c r="S38"/>
      <c r="T38"/>
      <c r="U38"/>
    </row>
    <row r="39" spans="1:21" x14ac:dyDescent="0.25">
      <c r="N39"/>
      <c r="O39"/>
      <c r="P39"/>
      <c r="Q39"/>
      <c r="R39"/>
      <c r="S39"/>
      <c r="T39"/>
      <c r="U39"/>
    </row>
  </sheetData>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42"/>
  <sheetViews>
    <sheetView zoomScale="80" zoomScaleNormal="80" workbookViewId="0">
      <selection activeCell="A12" sqref="A12"/>
    </sheetView>
  </sheetViews>
  <sheetFormatPr baseColWidth="10" defaultRowHeight="15" x14ac:dyDescent="0.25"/>
  <cols>
    <col min="1" max="1" width="255.7109375" style="182" customWidth="1"/>
    <col min="2" max="2" width="22" style="171" customWidth="1"/>
    <col min="3" max="3" width="23.7109375" style="171" customWidth="1"/>
    <col min="4" max="4" width="17.140625" style="171" customWidth="1"/>
    <col min="5" max="5" width="24.140625" style="171" customWidth="1"/>
    <col min="6" max="6" width="22.28515625" style="171" customWidth="1"/>
    <col min="7" max="7" width="16" style="171" customWidth="1"/>
    <col min="8" max="8" width="25.28515625" style="171" bestFit="1" customWidth="1"/>
    <col min="9" max="21" width="20" style="5" customWidth="1"/>
  </cols>
  <sheetData>
    <row r="3" spans="1:21" x14ac:dyDescent="0.25">
      <c r="A3" s="181" t="s">
        <v>53</v>
      </c>
      <c r="B3" s="170" t="s">
        <v>55</v>
      </c>
      <c r="C3" s="170" t="s">
        <v>56</v>
      </c>
      <c r="D3" s="170" t="s">
        <v>89</v>
      </c>
      <c r="E3" s="170" t="s">
        <v>57</v>
      </c>
      <c r="F3" s="170" t="s">
        <v>58</v>
      </c>
      <c r="G3" t="s">
        <v>59</v>
      </c>
      <c r="H3" t="s">
        <v>88</v>
      </c>
      <c r="I3"/>
      <c r="J3"/>
      <c r="K3"/>
      <c r="L3"/>
      <c r="M3"/>
      <c r="N3"/>
      <c r="O3"/>
      <c r="P3"/>
      <c r="Q3"/>
      <c r="R3"/>
      <c r="S3"/>
      <c r="T3"/>
      <c r="U3"/>
    </row>
    <row r="4" spans="1:21" x14ac:dyDescent="0.25">
      <c r="A4" s="180" t="s">
        <v>34</v>
      </c>
      <c r="B4" s="170">
        <v>78755679868</v>
      </c>
      <c r="C4" s="170">
        <v>78755679868</v>
      </c>
      <c r="D4" s="170">
        <v>69781119146.669998</v>
      </c>
      <c r="E4" s="170">
        <v>25503921270.549995</v>
      </c>
      <c r="F4" s="170">
        <v>18185875567.990002</v>
      </c>
      <c r="G4" s="170">
        <v>18103365511.990002</v>
      </c>
      <c r="H4" s="170">
        <v>3316231000</v>
      </c>
      <c r="I4"/>
      <c r="J4"/>
      <c r="K4"/>
      <c r="L4"/>
      <c r="M4"/>
      <c r="N4"/>
      <c r="O4"/>
      <c r="P4"/>
      <c r="Q4"/>
      <c r="R4"/>
      <c r="S4"/>
      <c r="T4"/>
      <c r="U4"/>
    </row>
    <row r="5" spans="1:21" x14ac:dyDescent="0.25">
      <c r="A5" s="180" t="s">
        <v>145</v>
      </c>
      <c r="B5" s="170">
        <v>58763996000</v>
      </c>
      <c r="C5" s="170">
        <v>58763996000</v>
      </c>
      <c r="D5" s="170">
        <v>56893965000</v>
      </c>
      <c r="E5" s="170">
        <v>14423526599</v>
      </c>
      <c r="F5" s="170">
        <v>14150016625</v>
      </c>
      <c r="G5" s="170">
        <v>14081921425</v>
      </c>
      <c r="H5" s="170">
        <v>1870031000</v>
      </c>
      <c r="I5"/>
      <c r="J5"/>
      <c r="K5"/>
      <c r="L5"/>
      <c r="M5"/>
      <c r="N5"/>
      <c r="O5"/>
      <c r="P5"/>
      <c r="Q5"/>
      <c r="R5"/>
      <c r="S5"/>
      <c r="T5"/>
      <c r="U5"/>
    </row>
    <row r="6" spans="1:21" x14ac:dyDescent="0.25">
      <c r="A6" s="95" t="s">
        <v>146</v>
      </c>
      <c r="B6" s="170">
        <v>40628002000</v>
      </c>
      <c r="C6" s="170">
        <v>40628002000</v>
      </c>
      <c r="D6" s="170">
        <v>40628002000</v>
      </c>
      <c r="E6" s="170">
        <v>10951516824</v>
      </c>
      <c r="F6" s="170">
        <v>10682958058</v>
      </c>
      <c r="G6" s="170">
        <v>10682958058</v>
      </c>
      <c r="H6" s="170">
        <v>0</v>
      </c>
      <c r="I6"/>
      <c r="J6"/>
      <c r="K6"/>
      <c r="L6"/>
      <c r="M6"/>
      <c r="N6"/>
      <c r="O6"/>
      <c r="P6"/>
      <c r="Q6"/>
      <c r="R6"/>
      <c r="S6"/>
      <c r="T6"/>
      <c r="U6"/>
    </row>
    <row r="7" spans="1:21" x14ac:dyDescent="0.25">
      <c r="A7" s="95" t="s">
        <v>149</v>
      </c>
      <c r="B7" s="170">
        <v>13022354000</v>
      </c>
      <c r="C7" s="170">
        <v>13022354000</v>
      </c>
      <c r="D7" s="170">
        <v>13022354000</v>
      </c>
      <c r="E7" s="170">
        <v>2917228743</v>
      </c>
      <c r="F7" s="170">
        <v>2917228743</v>
      </c>
      <c r="G7" s="170">
        <v>2849133543</v>
      </c>
      <c r="H7" s="170">
        <v>0</v>
      </c>
      <c r="I7"/>
      <c r="J7"/>
      <c r="K7"/>
      <c r="L7"/>
      <c r="M7"/>
      <c r="N7"/>
      <c r="O7"/>
      <c r="P7"/>
      <c r="Q7"/>
      <c r="R7"/>
      <c r="S7"/>
      <c r="T7"/>
      <c r="U7"/>
    </row>
    <row r="8" spans="1:21" x14ac:dyDescent="0.25">
      <c r="A8" s="95" t="s">
        <v>152</v>
      </c>
      <c r="B8" s="170">
        <v>3243609000</v>
      </c>
      <c r="C8" s="170">
        <v>3243609000</v>
      </c>
      <c r="D8" s="170">
        <v>3243609000</v>
      </c>
      <c r="E8" s="170">
        <v>554781032</v>
      </c>
      <c r="F8" s="170">
        <v>549829824</v>
      </c>
      <c r="G8" s="170">
        <v>549829824</v>
      </c>
      <c r="H8" s="170">
        <v>0</v>
      </c>
      <c r="I8"/>
      <c r="J8"/>
      <c r="K8"/>
      <c r="L8"/>
      <c r="M8"/>
      <c r="N8"/>
      <c r="O8"/>
      <c r="P8"/>
      <c r="Q8"/>
      <c r="R8"/>
      <c r="S8"/>
      <c r="T8"/>
      <c r="U8"/>
    </row>
    <row r="9" spans="1:21" x14ac:dyDescent="0.25">
      <c r="A9" s="95" t="s">
        <v>155</v>
      </c>
      <c r="B9" s="170">
        <v>1870031000</v>
      </c>
      <c r="C9" s="170">
        <v>1870031000</v>
      </c>
      <c r="D9" s="170">
        <v>0</v>
      </c>
      <c r="E9" s="170">
        <v>0</v>
      </c>
      <c r="F9" s="170">
        <v>0</v>
      </c>
      <c r="G9" s="170">
        <v>0</v>
      </c>
      <c r="H9" s="170">
        <v>1870031000</v>
      </c>
      <c r="I9"/>
      <c r="J9"/>
      <c r="K9"/>
      <c r="L9"/>
      <c r="M9"/>
      <c r="N9"/>
      <c r="O9"/>
      <c r="P9"/>
      <c r="Q9"/>
      <c r="R9"/>
      <c r="S9"/>
      <c r="T9"/>
      <c r="U9"/>
    </row>
    <row r="10" spans="1:21" x14ac:dyDescent="0.25">
      <c r="A10" s="180" t="s">
        <v>148</v>
      </c>
      <c r="B10" s="170">
        <v>12676328868</v>
      </c>
      <c r="C10" s="170">
        <v>12676328868</v>
      </c>
      <c r="D10" s="170">
        <v>11007826984</v>
      </c>
      <c r="E10" s="170">
        <v>10200301765.629999</v>
      </c>
      <c r="F10" s="170">
        <v>3160174721.9099998</v>
      </c>
      <c r="G10" s="170">
        <v>3153692320.9099998</v>
      </c>
      <c r="H10" s="170">
        <v>0</v>
      </c>
      <c r="I10"/>
      <c r="J10"/>
      <c r="K10"/>
      <c r="L10"/>
      <c r="M10"/>
      <c r="N10"/>
      <c r="O10"/>
      <c r="P10"/>
      <c r="Q10"/>
      <c r="R10"/>
      <c r="S10"/>
      <c r="T10"/>
      <c r="U10"/>
    </row>
    <row r="11" spans="1:21" x14ac:dyDescent="0.25">
      <c r="A11" s="95" t="s">
        <v>157</v>
      </c>
      <c r="B11" s="170">
        <v>10000000</v>
      </c>
      <c r="C11" s="170">
        <v>10000000</v>
      </c>
      <c r="D11" s="170">
        <v>7033899</v>
      </c>
      <c r="E11" s="170">
        <v>6723879</v>
      </c>
      <c r="F11" s="170">
        <v>4000000</v>
      </c>
      <c r="G11" s="170">
        <v>4000000</v>
      </c>
      <c r="H11" s="170">
        <v>0</v>
      </c>
      <c r="I11"/>
      <c r="J11"/>
      <c r="K11"/>
      <c r="L11"/>
      <c r="M11"/>
      <c r="N11"/>
      <c r="O11"/>
      <c r="P11"/>
      <c r="Q11"/>
      <c r="R11"/>
      <c r="S11"/>
      <c r="T11"/>
      <c r="U11"/>
    </row>
    <row r="12" spans="1:21" x14ac:dyDescent="0.25">
      <c r="A12" s="95" t="s">
        <v>159</v>
      </c>
      <c r="B12" s="170">
        <v>12666328868</v>
      </c>
      <c r="C12" s="170">
        <v>12666328868</v>
      </c>
      <c r="D12" s="170">
        <v>11000793085</v>
      </c>
      <c r="E12" s="170">
        <v>10193577886.629999</v>
      </c>
      <c r="F12" s="170">
        <v>3156174721.9099998</v>
      </c>
      <c r="G12" s="170">
        <v>3149692320.9099998</v>
      </c>
      <c r="H12" s="170">
        <v>0</v>
      </c>
      <c r="I12"/>
      <c r="J12"/>
      <c r="K12"/>
      <c r="L12"/>
      <c r="M12"/>
      <c r="N12"/>
      <c r="O12"/>
      <c r="P12"/>
      <c r="Q12"/>
      <c r="R12"/>
      <c r="S12"/>
      <c r="T12"/>
      <c r="U12"/>
    </row>
    <row r="13" spans="1:21" x14ac:dyDescent="0.25">
      <c r="A13" s="180" t="s">
        <v>151</v>
      </c>
      <c r="B13" s="170">
        <v>7027097000</v>
      </c>
      <c r="C13" s="170">
        <v>7027097000</v>
      </c>
      <c r="D13" s="170">
        <v>1876403601</v>
      </c>
      <c r="E13" s="170">
        <v>877197613.92000008</v>
      </c>
      <c r="F13" s="170">
        <v>872788929.07999992</v>
      </c>
      <c r="G13" s="170">
        <v>867751766.07999992</v>
      </c>
      <c r="H13" s="170">
        <v>1446200000</v>
      </c>
      <c r="I13"/>
      <c r="J13"/>
      <c r="K13"/>
      <c r="L13"/>
      <c r="M13"/>
      <c r="N13"/>
      <c r="O13"/>
      <c r="P13"/>
      <c r="Q13"/>
      <c r="R13"/>
      <c r="S13"/>
      <c r="T13"/>
      <c r="U13"/>
    </row>
    <row r="14" spans="1:21" x14ac:dyDescent="0.25">
      <c r="A14" s="95" t="s">
        <v>43</v>
      </c>
      <c r="B14" s="170">
        <v>81269000</v>
      </c>
      <c r="C14" s="170">
        <v>81269000</v>
      </c>
      <c r="D14" s="170">
        <v>0</v>
      </c>
      <c r="E14" s="170">
        <v>0</v>
      </c>
      <c r="F14" s="170">
        <v>0</v>
      </c>
      <c r="G14" s="170">
        <v>0</v>
      </c>
      <c r="H14" s="170">
        <v>0</v>
      </c>
      <c r="I14"/>
      <c r="J14"/>
      <c r="K14"/>
      <c r="L14"/>
      <c r="M14"/>
      <c r="N14"/>
      <c r="O14"/>
      <c r="P14"/>
      <c r="Q14"/>
      <c r="R14"/>
      <c r="S14"/>
      <c r="T14"/>
      <c r="U14"/>
    </row>
    <row r="15" spans="1:21" x14ac:dyDescent="0.25">
      <c r="A15" s="95" t="s">
        <v>42</v>
      </c>
      <c r="B15" s="170">
        <v>206493000</v>
      </c>
      <c r="C15" s="170">
        <v>206493000</v>
      </c>
      <c r="D15" s="170">
        <v>0</v>
      </c>
      <c r="E15" s="170">
        <v>0</v>
      </c>
      <c r="F15" s="170">
        <v>0</v>
      </c>
      <c r="G15" s="170">
        <v>0</v>
      </c>
      <c r="H15" s="170">
        <v>0</v>
      </c>
      <c r="I15"/>
      <c r="J15"/>
      <c r="K15"/>
      <c r="L15"/>
      <c r="M15"/>
      <c r="N15"/>
      <c r="O15"/>
      <c r="P15"/>
      <c r="Q15"/>
      <c r="R15"/>
      <c r="S15"/>
      <c r="T15"/>
      <c r="U15"/>
    </row>
    <row r="16" spans="1:21" x14ac:dyDescent="0.25">
      <c r="A16" s="95" t="s">
        <v>166</v>
      </c>
      <c r="B16" s="170">
        <v>1446200000</v>
      </c>
      <c r="C16" s="170">
        <v>1446200000</v>
      </c>
      <c r="D16" s="170">
        <v>0</v>
      </c>
      <c r="E16" s="170">
        <v>0</v>
      </c>
      <c r="F16" s="170">
        <v>0</v>
      </c>
      <c r="G16" s="170">
        <v>0</v>
      </c>
      <c r="H16" s="170">
        <v>1446200000</v>
      </c>
      <c r="I16"/>
      <c r="J16"/>
      <c r="K16"/>
      <c r="L16"/>
      <c r="M16"/>
      <c r="N16"/>
      <c r="O16"/>
      <c r="P16"/>
      <c r="Q16"/>
      <c r="R16"/>
      <c r="S16"/>
      <c r="T16"/>
      <c r="U16"/>
    </row>
    <row r="17" spans="1:21" x14ac:dyDescent="0.25">
      <c r="A17" s="95" t="s">
        <v>169</v>
      </c>
      <c r="B17" s="170">
        <v>418365000</v>
      </c>
      <c r="C17" s="170">
        <v>418365000</v>
      </c>
      <c r="D17" s="170">
        <v>418365000</v>
      </c>
      <c r="E17" s="170">
        <v>96002907.920000002</v>
      </c>
      <c r="F17" s="170">
        <v>95689074.079999998</v>
      </c>
      <c r="G17" s="170">
        <v>95689074.079999998</v>
      </c>
      <c r="H17" s="170">
        <v>0</v>
      </c>
      <c r="I17"/>
      <c r="J17"/>
      <c r="K17"/>
      <c r="L17"/>
      <c r="M17"/>
      <c r="N17"/>
      <c r="O17"/>
      <c r="P17"/>
      <c r="Q17"/>
      <c r="R17"/>
      <c r="S17"/>
      <c r="T17"/>
      <c r="U17"/>
    </row>
    <row r="18" spans="1:21" x14ac:dyDescent="0.25">
      <c r="A18" s="95" t="s">
        <v>174</v>
      </c>
      <c r="B18" s="170">
        <v>626000000</v>
      </c>
      <c r="C18" s="170">
        <v>626000000</v>
      </c>
      <c r="D18" s="170">
        <v>626000000</v>
      </c>
      <c r="E18" s="170">
        <v>227950485</v>
      </c>
      <c r="F18" s="170">
        <v>227950485</v>
      </c>
      <c r="G18" s="170">
        <v>227950485</v>
      </c>
      <c r="H18" s="170">
        <v>0</v>
      </c>
      <c r="I18"/>
      <c r="J18"/>
      <c r="K18"/>
      <c r="L18"/>
      <c r="M18"/>
      <c r="N18"/>
      <c r="O18"/>
      <c r="P18"/>
      <c r="Q18"/>
      <c r="R18"/>
      <c r="S18"/>
      <c r="T18"/>
      <c r="U18"/>
    </row>
    <row r="19" spans="1:21" x14ac:dyDescent="0.25">
      <c r="A19" s="95" t="s">
        <v>176</v>
      </c>
      <c r="B19" s="170">
        <v>2060000000</v>
      </c>
      <c r="C19" s="170">
        <v>2060000000</v>
      </c>
      <c r="D19" s="170">
        <v>304183536</v>
      </c>
      <c r="E19" s="170">
        <v>233721909</v>
      </c>
      <c r="F19" s="170">
        <v>233721909</v>
      </c>
      <c r="G19" s="170">
        <v>230064169</v>
      </c>
      <c r="H19" s="170">
        <v>0</v>
      </c>
      <c r="I19"/>
      <c r="J19"/>
      <c r="K19"/>
      <c r="L19"/>
      <c r="M19"/>
      <c r="N19"/>
      <c r="O19"/>
      <c r="P19"/>
      <c r="Q19"/>
      <c r="R19"/>
      <c r="S19"/>
      <c r="T19"/>
      <c r="U19"/>
    </row>
    <row r="20" spans="1:21" x14ac:dyDescent="0.25">
      <c r="A20" s="95" t="s">
        <v>179</v>
      </c>
      <c r="B20" s="170">
        <v>2060000000</v>
      </c>
      <c r="C20" s="170">
        <v>2060000000</v>
      </c>
      <c r="D20" s="170">
        <v>399085065</v>
      </c>
      <c r="E20" s="170">
        <v>317249945</v>
      </c>
      <c r="F20" s="170">
        <v>313155094</v>
      </c>
      <c r="G20" s="170">
        <v>311775671</v>
      </c>
      <c r="H20" s="170">
        <v>0</v>
      </c>
      <c r="I20"/>
      <c r="J20"/>
      <c r="K20"/>
      <c r="L20"/>
      <c r="M20"/>
      <c r="N20"/>
      <c r="O20"/>
      <c r="P20"/>
      <c r="Q20"/>
      <c r="R20"/>
      <c r="S20"/>
      <c r="T20"/>
      <c r="U20"/>
    </row>
    <row r="21" spans="1:21" x14ac:dyDescent="0.25">
      <c r="A21" s="95" t="s">
        <v>212</v>
      </c>
      <c r="B21" s="170">
        <v>128770000</v>
      </c>
      <c r="C21" s="170">
        <v>128770000</v>
      </c>
      <c r="D21" s="170">
        <v>128770000</v>
      </c>
      <c r="E21" s="170">
        <v>2272367</v>
      </c>
      <c r="F21" s="170">
        <v>2272367</v>
      </c>
      <c r="G21" s="170">
        <v>2272367</v>
      </c>
      <c r="H21" s="170">
        <v>0</v>
      </c>
      <c r="I21"/>
      <c r="J21"/>
      <c r="K21"/>
      <c r="L21"/>
      <c r="M21"/>
      <c r="N21"/>
      <c r="O21"/>
      <c r="P21"/>
      <c r="Q21"/>
      <c r="R21"/>
      <c r="S21"/>
      <c r="T21"/>
      <c r="U21"/>
    </row>
    <row r="22" spans="1:21" x14ac:dyDescent="0.25">
      <c r="A22" s="180" t="s">
        <v>181</v>
      </c>
      <c r="B22" s="170">
        <v>288258000</v>
      </c>
      <c r="C22" s="170">
        <v>288258000</v>
      </c>
      <c r="D22" s="170">
        <v>2923561.67</v>
      </c>
      <c r="E22" s="170">
        <v>2895292</v>
      </c>
      <c r="F22" s="170">
        <v>2895292</v>
      </c>
      <c r="G22" s="170">
        <v>0</v>
      </c>
      <c r="H22" s="170">
        <v>0</v>
      </c>
      <c r="I22"/>
      <c r="J22"/>
      <c r="K22"/>
      <c r="L22"/>
      <c r="M22"/>
      <c r="N22"/>
      <c r="O22"/>
      <c r="P22"/>
      <c r="Q22"/>
      <c r="R22"/>
      <c r="S22"/>
      <c r="T22"/>
      <c r="U22"/>
    </row>
    <row r="23" spans="1:21" x14ac:dyDescent="0.25">
      <c r="A23" s="95" t="s">
        <v>182</v>
      </c>
      <c r="B23" s="170">
        <v>51500000</v>
      </c>
      <c r="C23" s="170">
        <v>51500000</v>
      </c>
      <c r="D23" s="170">
        <v>2342000</v>
      </c>
      <c r="E23" s="170">
        <v>2319000</v>
      </c>
      <c r="F23" s="170">
        <v>2319000</v>
      </c>
      <c r="G23" s="170">
        <v>0</v>
      </c>
      <c r="H23" s="170">
        <v>0</v>
      </c>
      <c r="I23"/>
      <c r="J23"/>
      <c r="K23"/>
      <c r="L23"/>
      <c r="M23"/>
      <c r="N23"/>
      <c r="O23"/>
      <c r="P23"/>
      <c r="Q23"/>
      <c r="R23"/>
      <c r="S23"/>
      <c r="T23"/>
      <c r="U23"/>
    </row>
    <row r="24" spans="1:21" x14ac:dyDescent="0.25">
      <c r="A24" s="95" t="s">
        <v>184</v>
      </c>
      <c r="B24" s="170">
        <v>236758000</v>
      </c>
      <c r="C24" s="170">
        <v>236758000</v>
      </c>
      <c r="D24" s="170">
        <v>581561.67000000004</v>
      </c>
      <c r="E24" s="170">
        <v>576292</v>
      </c>
      <c r="F24" s="170">
        <v>576292</v>
      </c>
      <c r="G24" s="170">
        <v>0</v>
      </c>
      <c r="H24" s="170">
        <v>0</v>
      </c>
      <c r="I24"/>
      <c r="J24"/>
      <c r="K24"/>
      <c r="L24"/>
      <c r="M24"/>
      <c r="N24"/>
      <c r="O24"/>
      <c r="P24"/>
      <c r="Q24"/>
      <c r="R24"/>
      <c r="S24"/>
      <c r="T24"/>
      <c r="U24"/>
    </row>
    <row r="25" spans="1:21" x14ac:dyDescent="0.25">
      <c r="A25" s="180" t="s">
        <v>45</v>
      </c>
      <c r="B25" s="170">
        <v>161536218750</v>
      </c>
      <c r="C25" s="170">
        <v>165336840329</v>
      </c>
      <c r="D25" s="170">
        <v>112406761655.11</v>
      </c>
      <c r="E25" s="170">
        <v>87167456910.880005</v>
      </c>
      <c r="F25" s="170">
        <v>11310892326.9</v>
      </c>
      <c r="G25" s="170">
        <v>11296739532.9</v>
      </c>
      <c r="H25" s="170">
        <v>0</v>
      </c>
      <c r="I25"/>
      <c r="J25"/>
      <c r="K25"/>
      <c r="L25"/>
      <c r="M25"/>
      <c r="N25"/>
      <c r="O25"/>
      <c r="P25"/>
      <c r="Q25"/>
      <c r="R25"/>
      <c r="S25"/>
      <c r="T25"/>
      <c r="U25"/>
    </row>
    <row r="26" spans="1:21" x14ac:dyDescent="0.25">
      <c r="A26" s="1" t="s">
        <v>46</v>
      </c>
      <c r="B26" s="170">
        <v>73429205374</v>
      </c>
      <c r="C26" s="170">
        <v>77229826953</v>
      </c>
      <c r="D26" s="170">
        <v>65571763117</v>
      </c>
      <c r="E26" s="170">
        <v>49708273600</v>
      </c>
      <c r="F26" s="170">
        <v>8201131491.3299999</v>
      </c>
      <c r="G26" s="170">
        <v>8189478283.3299999</v>
      </c>
      <c r="H26" s="170">
        <v>0</v>
      </c>
      <c r="I26"/>
      <c r="J26"/>
      <c r="K26"/>
      <c r="L26"/>
      <c r="M26"/>
      <c r="N26"/>
      <c r="O26"/>
      <c r="P26"/>
      <c r="Q26"/>
      <c r="R26"/>
      <c r="S26"/>
      <c r="T26"/>
      <c r="U26"/>
    </row>
    <row r="27" spans="1:21" x14ac:dyDescent="0.25">
      <c r="A27" s="95" t="s">
        <v>185</v>
      </c>
      <c r="B27" s="170">
        <v>39427254112</v>
      </c>
      <c r="C27" s="170">
        <v>39427254112</v>
      </c>
      <c r="D27" s="170">
        <v>31416597801</v>
      </c>
      <c r="E27" s="170">
        <v>21064185862</v>
      </c>
      <c r="F27" s="170">
        <v>3042809110.3299999</v>
      </c>
      <c r="G27" s="170">
        <v>3032052870.3299999</v>
      </c>
      <c r="H27" s="170">
        <v>0</v>
      </c>
      <c r="I27"/>
      <c r="J27"/>
      <c r="K27"/>
      <c r="L27"/>
      <c r="M27"/>
      <c r="N27"/>
      <c r="O27"/>
      <c r="P27"/>
      <c r="Q27"/>
      <c r="R27"/>
      <c r="S27"/>
      <c r="T27"/>
      <c r="U27"/>
    </row>
    <row r="28" spans="1:21" x14ac:dyDescent="0.25">
      <c r="A28" s="95" t="s">
        <v>187</v>
      </c>
      <c r="B28" s="170">
        <v>909785125</v>
      </c>
      <c r="C28" s="170">
        <v>909785125</v>
      </c>
      <c r="D28" s="170">
        <v>901971120</v>
      </c>
      <c r="E28" s="170">
        <v>754160996</v>
      </c>
      <c r="F28" s="170">
        <v>168270674</v>
      </c>
      <c r="G28" s="170">
        <v>168270674</v>
      </c>
      <c r="H28" s="170">
        <v>0</v>
      </c>
      <c r="I28"/>
      <c r="J28"/>
      <c r="K28"/>
      <c r="L28"/>
      <c r="M28"/>
      <c r="N28"/>
      <c r="O28"/>
      <c r="P28"/>
      <c r="Q28"/>
      <c r="R28"/>
      <c r="S28"/>
      <c r="T28"/>
      <c r="U28"/>
    </row>
    <row r="29" spans="1:21" x14ac:dyDescent="0.25">
      <c r="A29" s="95" t="s">
        <v>190</v>
      </c>
      <c r="B29" s="170">
        <v>3601793401</v>
      </c>
      <c r="C29" s="170">
        <v>3601793401</v>
      </c>
      <c r="D29" s="170">
        <v>3538856637</v>
      </c>
      <c r="E29" s="170">
        <v>2178726688</v>
      </c>
      <c r="F29" s="170">
        <v>685881531</v>
      </c>
      <c r="G29" s="170">
        <v>685881531</v>
      </c>
      <c r="H29" s="170">
        <v>0</v>
      </c>
      <c r="I29"/>
      <c r="J29"/>
      <c r="K29"/>
      <c r="L29"/>
      <c r="M29"/>
      <c r="N29"/>
      <c r="O29"/>
      <c r="P29"/>
      <c r="Q29"/>
      <c r="R29"/>
      <c r="S29"/>
      <c r="T29"/>
      <c r="U29"/>
    </row>
    <row r="30" spans="1:21" x14ac:dyDescent="0.25">
      <c r="A30" s="95" t="s">
        <v>193</v>
      </c>
      <c r="B30" s="170">
        <v>2591894878</v>
      </c>
      <c r="C30" s="170">
        <v>2591894878</v>
      </c>
      <c r="D30" s="170">
        <v>2521525922</v>
      </c>
      <c r="E30" s="170">
        <v>2393287961</v>
      </c>
      <c r="F30" s="170">
        <v>489872044</v>
      </c>
      <c r="G30" s="170">
        <v>489872044</v>
      </c>
      <c r="H30" s="170">
        <v>0</v>
      </c>
      <c r="I30"/>
      <c r="J30"/>
      <c r="K30"/>
      <c r="L30"/>
      <c r="M30"/>
      <c r="N30"/>
      <c r="O30"/>
      <c r="P30"/>
      <c r="Q30"/>
      <c r="R30"/>
      <c r="S30"/>
      <c r="T30"/>
      <c r="U30"/>
    </row>
    <row r="31" spans="1:21" x14ac:dyDescent="0.25">
      <c r="A31" s="95" t="s">
        <v>196</v>
      </c>
      <c r="B31" s="170">
        <v>8032499000</v>
      </c>
      <c r="C31" s="170">
        <v>8032499000</v>
      </c>
      <c r="D31" s="170">
        <v>7921695460</v>
      </c>
      <c r="E31" s="170">
        <v>6692352563</v>
      </c>
      <c r="F31" s="170">
        <v>1346823614</v>
      </c>
      <c r="G31" s="170">
        <v>1345926646</v>
      </c>
      <c r="H31" s="170">
        <v>0</v>
      </c>
      <c r="I31"/>
      <c r="J31"/>
      <c r="K31"/>
      <c r="L31"/>
      <c r="M31"/>
      <c r="N31"/>
      <c r="O31"/>
      <c r="P31"/>
      <c r="Q31"/>
      <c r="R31"/>
      <c r="S31"/>
      <c r="T31"/>
      <c r="U31"/>
    </row>
    <row r="32" spans="1:21" x14ac:dyDescent="0.25">
      <c r="A32" s="95" t="s">
        <v>199</v>
      </c>
      <c r="B32" s="170">
        <v>8791562000</v>
      </c>
      <c r="C32" s="170">
        <v>8791562000</v>
      </c>
      <c r="D32" s="170">
        <v>7153168947</v>
      </c>
      <c r="E32" s="170">
        <v>6713861204</v>
      </c>
      <c r="F32" s="170">
        <v>925935189</v>
      </c>
      <c r="G32" s="170">
        <v>925935189</v>
      </c>
      <c r="H32" s="170">
        <v>0</v>
      </c>
      <c r="I32"/>
      <c r="J32"/>
      <c r="K32"/>
      <c r="L32"/>
      <c r="M32"/>
      <c r="N32"/>
      <c r="O32"/>
      <c r="P32"/>
      <c r="Q32"/>
      <c r="R32"/>
      <c r="S32"/>
      <c r="T32"/>
      <c r="U32"/>
    </row>
    <row r="33" spans="1:21" x14ac:dyDescent="0.25">
      <c r="A33" s="95" t="s">
        <v>202</v>
      </c>
      <c r="B33" s="170">
        <v>5305076993</v>
      </c>
      <c r="C33" s="170">
        <v>9105698572</v>
      </c>
      <c r="D33" s="170">
        <v>7581418064</v>
      </c>
      <c r="E33" s="170">
        <v>5867635676</v>
      </c>
      <c r="F33" s="170">
        <v>649237616</v>
      </c>
      <c r="G33" s="170">
        <v>649237616</v>
      </c>
      <c r="H33" s="170">
        <v>0</v>
      </c>
      <c r="I33"/>
      <c r="J33"/>
      <c r="K33"/>
      <c r="L33"/>
      <c r="M33"/>
      <c r="N33"/>
      <c r="O33"/>
      <c r="P33"/>
      <c r="Q33"/>
      <c r="R33"/>
      <c r="S33"/>
      <c r="T33"/>
      <c r="U33"/>
    </row>
    <row r="34" spans="1:21" x14ac:dyDescent="0.25">
      <c r="A34" s="95" t="s">
        <v>205</v>
      </c>
      <c r="B34" s="170">
        <v>4769339865</v>
      </c>
      <c r="C34" s="170">
        <v>4769339865</v>
      </c>
      <c r="D34" s="170">
        <v>4536529166</v>
      </c>
      <c r="E34" s="170">
        <v>4044062650</v>
      </c>
      <c r="F34" s="170">
        <v>892301713</v>
      </c>
      <c r="G34" s="170">
        <v>892301713</v>
      </c>
      <c r="H34" s="170">
        <v>0</v>
      </c>
      <c r="I34"/>
      <c r="J34"/>
      <c r="K34"/>
      <c r="L34"/>
      <c r="M34"/>
      <c r="N34"/>
      <c r="O34"/>
      <c r="P34"/>
      <c r="Q34"/>
      <c r="R34"/>
      <c r="S34"/>
      <c r="T34"/>
      <c r="U34"/>
    </row>
    <row r="35" spans="1:21" x14ac:dyDescent="0.25">
      <c r="A35" s="1" t="s">
        <v>52</v>
      </c>
      <c r="B35" s="170">
        <v>88107013376</v>
      </c>
      <c r="C35" s="170">
        <v>88107013376</v>
      </c>
      <c r="D35" s="170">
        <v>46834998538.110001</v>
      </c>
      <c r="E35" s="170">
        <v>37459183310.879997</v>
      </c>
      <c r="F35" s="170">
        <v>3109760835.5700002</v>
      </c>
      <c r="G35" s="170">
        <v>3107261249.5700002</v>
      </c>
      <c r="H35" s="170">
        <v>0</v>
      </c>
      <c r="I35"/>
      <c r="J35"/>
      <c r="K35"/>
      <c r="L35"/>
      <c r="M35"/>
      <c r="N35"/>
      <c r="O35"/>
      <c r="P35"/>
      <c r="Q35"/>
      <c r="R35"/>
      <c r="S35"/>
      <c r="T35"/>
      <c r="U35"/>
    </row>
    <row r="36" spans="1:21" x14ac:dyDescent="0.25">
      <c r="A36" s="95" t="s">
        <v>138</v>
      </c>
      <c r="B36" s="170">
        <v>30262520191</v>
      </c>
      <c r="C36" s="170">
        <v>30262520191</v>
      </c>
      <c r="D36" s="170">
        <v>0</v>
      </c>
      <c r="E36" s="170">
        <v>0</v>
      </c>
      <c r="F36" s="170">
        <v>0</v>
      </c>
      <c r="G36" s="170">
        <v>0</v>
      </c>
      <c r="H36" s="170">
        <v>0</v>
      </c>
      <c r="I36"/>
      <c r="J36"/>
      <c r="K36"/>
      <c r="L36"/>
      <c r="M36"/>
      <c r="N36"/>
      <c r="O36"/>
      <c r="P36"/>
      <c r="Q36"/>
      <c r="R36"/>
      <c r="S36"/>
      <c r="T36"/>
      <c r="U36"/>
    </row>
    <row r="37" spans="1:21" x14ac:dyDescent="0.25">
      <c r="A37" s="95" t="s">
        <v>206</v>
      </c>
      <c r="B37" s="170">
        <v>28050706799</v>
      </c>
      <c r="C37" s="170">
        <v>28050706799</v>
      </c>
      <c r="D37" s="170">
        <v>24585345952.799999</v>
      </c>
      <c r="E37" s="170">
        <v>21167590218.599998</v>
      </c>
      <c r="F37" s="170">
        <v>1918475254.5700002</v>
      </c>
      <c r="G37" s="170">
        <v>1917375668.5700002</v>
      </c>
      <c r="H37" s="170">
        <v>0</v>
      </c>
      <c r="I37"/>
      <c r="J37"/>
      <c r="K37"/>
      <c r="L37"/>
      <c r="M37"/>
      <c r="N37"/>
      <c r="O37"/>
      <c r="P37"/>
      <c r="Q37"/>
      <c r="R37"/>
      <c r="S37"/>
      <c r="T37"/>
      <c r="U37"/>
    </row>
    <row r="38" spans="1:21" x14ac:dyDescent="0.25">
      <c r="A38" s="95" t="s">
        <v>207</v>
      </c>
      <c r="B38" s="170">
        <v>25661863246</v>
      </c>
      <c r="C38" s="170">
        <v>25661863246</v>
      </c>
      <c r="D38" s="170">
        <v>18767562461.310001</v>
      </c>
      <c r="E38" s="170">
        <v>13844756151.280001</v>
      </c>
      <c r="F38" s="170">
        <v>808468437</v>
      </c>
      <c r="G38" s="170">
        <v>808468437</v>
      </c>
      <c r="H38" s="170">
        <v>0</v>
      </c>
      <c r="I38"/>
      <c r="J38"/>
      <c r="K38"/>
      <c r="L38"/>
      <c r="M38"/>
      <c r="N38"/>
      <c r="O38"/>
      <c r="P38"/>
      <c r="Q38"/>
      <c r="R38"/>
      <c r="S38"/>
      <c r="T38"/>
      <c r="U38"/>
    </row>
    <row r="39" spans="1:21" x14ac:dyDescent="0.25">
      <c r="A39" s="95" t="s">
        <v>209</v>
      </c>
      <c r="B39" s="170">
        <v>773529015</v>
      </c>
      <c r="C39" s="170">
        <v>773529015</v>
      </c>
      <c r="D39" s="170">
        <v>686558986</v>
      </c>
      <c r="E39" s="170">
        <v>1799900</v>
      </c>
      <c r="F39" s="170">
        <v>0</v>
      </c>
      <c r="G39" s="170">
        <v>0</v>
      </c>
      <c r="H39" s="170">
        <v>0</v>
      </c>
      <c r="I39"/>
      <c r="J39"/>
      <c r="K39"/>
      <c r="L39"/>
      <c r="M39"/>
      <c r="N39"/>
      <c r="O39"/>
      <c r="P39"/>
      <c r="Q39"/>
      <c r="R39"/>
      <c r="S39"/>
      <c r="T39"/>
      <c r="U39"/>
    </row>
    <row r="40" spans="1:21" x14ac:dyDescent="0.25">
      <c r="A40" s="95" t="s">
        <v>211</v>
      </c>
      <c r="B40" s="170">
        <v>3358394125</v>
      </c>
      <c r="C40" s="170">
        <v>3358394125</v>
      </c>
      <c r="D40" s="170">
        <v>2795531138</v>
      </c>
      <c r="E40" s="170">
        <v>2445037041</v>
      </c>
      <c r="F40" s="170">
        <v>382817144</v>
      </c>
      <c r="G40" s="170">
        <v>381417144</v>
      </c>
      <c r="H40" s="170">
        <v>0</v>
      </c>
    </row>
    <row r="41" spans="1:21" x14ac:dyDescent="0.25">
      <c r="A41" s="180" t="s">
        <v>54</v>
      </c>
      <c r="B41" s="170">
        <v>240291898618</v>
      </c>
      <c r="C41" s="170">
        <v>244092520197</v>
      </c>
      <c r="D41" s="170">
        <v>182187880801.78</v>
      </c>
      <c r="E41" s="170">
        <v>112671378181.42999</v>
      </c>
      <c r="F41" s="170">
        <v>29496767894.889999</v>
      </c>
      <c r="G41" s="170">
        <v>29400105044.889999</v>
      </c>
      <c r="H41" s="170">
        <v>3316231000</v>
      </c>
    </row>
    <row r="42" spans="1:21" x14ac:dyDescent="0.25">
      <c r="A42"/>
      <c r="B42"/>
      <c r="C42"/>
      <c r="D42"/>
      <c r="E42"/>
      <c r="F42"/>
      <c r="G42"/>
      <c r="H4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showGridLines="0" workbookViewId="0">
      <selection sqref="A1:XFD1048576"/>
    </sheetView>
  </sheetViews>
  <sheetFormatPr baseColWidth="10" defaultRowHeight="15" x14ac:dyDescent="0.25"/>
  <cols>
    <col min="1" max="1" width="13.42578125" customWidth="1"/>
    <col min="2" max="2" width="27" customWidth="1"/>
    <col min="3" max="3" width="21.5703125" customWidth="1"/>
    <col min="4" max="11" width="5.42578125" customWidth="1"/>
    <col min="12" max="12" width="7" customWidth="1"/>
    <col min="13" max="13" width="9.5703125" customWidth="1"/>
    <col min="14" max="14" width="8" customWidth="1"/>
    <col min="15" max="15" width="9.5703125" customWidth="1"/>
    <col min="16" max="16" width="27.5703125" customWidth="1"/>
    <col min="17" max="27" width="18.85546875" customWidth="1"/>
    <col min="28" max="28" width="0" hidden="1" customWidth="1"/>
    <col min="29" max="29" width="6.42578125" customWidth="1"/>
  </cols>
  <sheetData>
    <row r="1" spans="1:27" x14ac:dyDescent="0.25">
      <c r="A1" s="205" t="s">
        <v>0</v>
      </c>
      <c r="B1" s="205">
        <v>2019</v>
      </c>
      <c r="C1" s="206" t="s">
        <v>1</v>
      </c>
      <c r="D1" s="206" t="s">
        <v>1</v>
      </c>
      <c r="E1" s="206" t="s">
        <v>1</v>
      </c>
      <c r="F1" s="206" t="s">
        <v>1</v>
      </c>
      <c r="G1" s="206" t="s">
        <v>1</v>
      </c>
      <c r="H1" s="206" t="s">
        <v>1</v>
      </c>
      <c r="I1" s="206" t="s">
        <v>1</v>
      </c>
      <c r="J1" s="206" t="s">
        <v>1</v>
      </c>
      <c r="K1" s="206" t="s">
        <v>1</v>
      </c>
      <c r="L1" s="206" t="s">
        <v>1</v>
      </c>
      <c r="M1" s="206" t="s">
        <v>1</v>
      </c>
      <c r="N1" s="206" t="s">
        <v>1</v>
      </c>
      <c r="O1" s="206" t="s">
        <v>1</v>
      </c>
      <c r="P1" s="206" t="s">
        <v>1</v>
      </c>
      <c r="Q1" s="206" t="s">
        <v>1</v>
      </c>
      <c r="R1" s="206" t="s">
        <v>1</v>
      </c>
      <c r="S1" s="206" t="s">
        <v>1</v>
      </c>
      <c r="T1" s="206" t="s">
        <v>1</v>
      </c>
      <c r="U1" s="206" t="s">
        <v>1</v>
      </c>
      <c r="V1" s="206" t="s">
        <v>1</v>
      </c>
      <c r="W1" s="206" t="s">
        <v>1</v>
      </c>
      <c r="X1" s="206" t="s">
        <v>1</v>
      </c>
      <c r="Y1" s="206" t="s">
        <v>1</v>
      </c>
      <c r="Z1" s="206" t="s">
        <v>1</v>
      </c>
      <c r="AA1" s="206" t="s">
        <v>1</v>
      </c>
    </row>
    <row r="2" spans="1:27" x14ac:dyDescent="0.25">
      <c r="A2" s="205" t="s">
        <v>2</v>
      </c>
      <c r="B2" s="205" t="s">
        <v>3</v>
      </c>
      <c r="C2" s="206" t="s">
        <v>1</v>
      </c>
      <c r="D2" s="206" t="s">
        <v>1</v>
      </c>
      <c r="E2" s="206" t="s">
        <v>1</v>
      </c>
      <c r="F2" s="206" t="s">
        <v>1</v>
      </c>
      <c r="G2" s="206" t="s">
        <v>1</v>
      </c>
      <c r="H2" s="206" t="s">
        <v>1</v>
      </c>
      <c r="I2" s="206" t="s">
        <v>1</v>
      </c>
      <c r="J2" s="206" t="s">
        <v>1</v>
      </c>
      <c r="K2" s="206" t="s">
        <v>1</v>
      </c>
      <c r="L2" s="206" t="s">
        <v>1</v>
      </c>
      <c r="M2" s="206" t="s">
        <v>1</v>
      </c>
      <c r="N2" s="206" t="s">
        <v>1</v>
      </c>
      <c r="O2" s="206" t="s">
        <v>1</v>
      </c>
      <c r="P2" s="206" t="s">
        <v>1</v>
      </c>
      <c r="Q2" s="206" t="s">
        <v>1</v>
      </c>
      <c r="R2" s="206" t="s">
        <v>1</v>
      </c>
      <c r="S2" s="206" t="s">
        <v>1</v>
      </c>
      <c r="T2" s="206" t="s">
        <v>1</v>
      </c>
      <c r="U2" s="206" t="s">
        <v>1</v>
      </c>
      <c r="V2" s="206" t="s">
        <v>1</v>
      </c>
      <c r="W2" s="206" t="s">
        <v>1</v>
      </c>
      <c r="X2" s="206" t="s">
        <v>1</v>
      </c>
      <c r="Y2" s="206" t="s">
        <v>1</v>
      </c>
      <c r="Z2" s="206" t="s">
        <v>1</v>
      </c>
      <c r="AA2" s="206" t="s">
        <v>1</v>
      </c>
    </row>
    <row r="3" spans="1:27" x14ac:dyDescent="0.25">
      <c r="A3" s="205" t="s">
        <v>4</v>
      </c>
      <c r="B3" s="205" t="s">
        <v>214</v>
      </c>
      <c r="C3" s="206" t="s">
        <v>1</v>
      </c>
      <c r="D3" s="206" t="s">
        <v>1</v>
      </c>
      <c r="E3" s="206" t="s">
        <v>1</v>
      </c>
      <c r="F3" s="206" t="s">
        <v>1</v>
      </c>
      <c r="G3" s="206" t="s">
        <v>1</v>
      </c>
      <c r="H3" s="206" t="s">
        <v>1</v>
      </c>
      <c r="I3" s="206" t="s">
        <v>1</v>
      </c>
      <c r="J3" s="206" t="s">
        <v>1</v>
      </c>
      <c r="K3" s="206" t="s">
        <v>1</v>
      </c>
      <c r="L3" s="206" t="s">
        <v>1</v>
      </c>
      <c r="M3" s="206" t="s">
        <v>1</v>
      </c>
      <c r="N3" s="206" t="s">
        <v>1</v>
      </c>
      <c r="O3" s="206" t="s">
        <v>1</v>
      </c>
      <c r="P3" s="206" t="s">
        <v>1</v>
      </c>
      <c r="Q3" s="206" t="s">
        <v>1</v>
      </c>
      <c r="R3" s="206" t="s">
        <v>1</v>
      </c>
      <c r="S3" s="206" t="s">
        <v>1</v>
      </c>
      <c r="T3" s="206" t="s">
        <v>1</v>
      </c>
      <c r="U3" s="206" t="s">
        <v>1</v>
      </c>
      <c r="V3" s="206" t="s">
        <v>1</v>
      </c>
      <c r="W3" s="206" t="s">
        <v>1</v>
      </c>
      <c r="X3" s="206" t="s">
        <v>1</v>
      </c>
      <c r="Y3" s="206" t="s">
        <v>1</v>
      </c>
      <c r="Z3" s="206" t="s">
        <v>1</v>
      </c>
      <c r="AA3" s="206" t="s">
        <v>1</v>
      </c>
    </row>
    <row r="4" spans="1:27" ht="24" x14ac:dyDescent="0.25">
      <c r="A4" s="205" t="s">
        <v>6</v>
      </c>
      <c r="B4" s="205" t="s">
        <v>7</v>
      </c>
      <c r="C4" s="205" t="s">
        <v>8</v>
      </c>
      <c r="D4" s="205" t="s">
        <v>9</v>
      </c>
      <c r="E4" s="205" t="s">
        <v>10</v>
      </c>
      <c r="F4" s="205" t="s">
        <v>11</v>
      </c>
      <c r="G4" s="205" t="s">
        <v>12</v>
      </c>
      <c r="H4" s="205" t="s">
        <v>13</v>
      </c>
      <c r="I4" s="205" t="s">
        <v>14</v>
      </c>
      <c r="J4" s="205" t="s">
        <v>15</v>
      </c>
      <c r="K4" s="205" t="s">
        <v>16</v>
      </c>
      <c r="L4" s="205" t="s">
        <v>143</v>
      </c>
      <c r="M4" s="205" t="s">
        <v>17</v>
      </c>
      <c r="N4" s="205" t="s">
        <v>18</v>
      </c>
      <c r="O4" s="205" t="s">
        <v>19</v>
      </c>
      <c r="P4" s="205" t="s">
        <v>20</v>
      </c>
      <c r="Q4" s="205" t="s">
        <v>21</v>
      </c>
      <c r="R4" s="205" t="s">
        <v>22</v>
      </c>
      <c r="S4" s="205" t="s">
        <v>23</v>
      </c>
      <c r="T4" s="205" t="s">
        <v>24</v>
      </c>
      <c r="U4" s="205" t="s">
        <v>25</v>
      </c>
      <c r="V4" s="205" t="s">
        <v>26</v>
      </c>
      <c r="W4" s="205" t="s">
        <v>27</v>
      </c>
      <c r="X4" s="205" t="s">
        <v>28</v>
      </c>
      <c r="Y4" s="205" t="s">
        <v>29</v>
      </c>
      <c r="Z4" s="205" t="s">
        <v>30</v>
      </c>
      <c r="AA4" s="205" t="s">
        <v>31</v>
      </c>
    </row>
    <row r="5" spans="1:27" ht="22.5" x14ac:dyDescent="0.25">
      <c r="A5" s="207" t="s">
        <v>32</v>
      </c>
      <c r="B5" s="208" t="s">
        <v>33</v>
      </c>
      <c r="C5" s="209" t="s">
        <v>144</v>
      </c>
      <c r="D5" s="207" t="s">
        <v>34</v>
      </c>
      <c r="E5" s="207" t="s">
        <v>145</v>
      </c>
      <c r="F5" s="207" t="s">
        <v>145</v>
      </c>
      <c r="G5" s="207" t="s">
        <v>145</v>
      </c>
      <c r="H5" s="207"/>
      <c r="I5" s="207"/>
      <c r="J5" s="207"/>
      <c r="K5" s="207"/>
      <c r="L5" s="207"/>
      <c r="M5" s="207" t="s">
        <v>35</v>
      </c>
      <c r="N5" s="207" t="s">
        <v>36</v>
      </c>
      <c r="O5" s="207" t="s">
        <v>37</v>
      </c>
      <c r="P5" s="208" t="s">
        <v>146</v>
      </c>
      <c r="Q5" s="210">
        <v>40628002000</v>
      </c>
      <c r="R5" s="210">
        <v>0</v>
      </c>
      <c r="S5" s="210">
        <v>0</v>
      </c>
      <c r="T5" s="210">
        <v>40628002000</v>
      </c>
      <c r="U5" s="210">
        <v>0</v>
      </c>
      <c r="V5" s="210">
        <v>40628002000</v>
      </c>
      <c r="W5" s="210">
        <v>0</v>
      </c>
      <c r="X5" s="210">
        <v>10951516824</v>
      </c>
      <c r="Y5" s="210">
        <v>10682958058</v>
      </c>
      <c r="Z5" s="210">
        <v>10682958058</v>
      </c>
      <c r="AA5" s="210">
        <v>10682958058</v>
      </c>
    </row>
    <row r="6" spans="1:27" ht="22.5" x14ac:dyDescent="0.25">
      <c r="A6" s="207" t="s">
        <v>32</v>
      </c>
      <c r="B6" s="208" t="s">
        <v>33</v>
      </c>
      <c r="C6" s="209" t="s">
        <v>147</v>
      </c>
      <c r="D6" s="207" t="s">
        <v>34</v>
      </c>
      <c r="E6" s="207" t="s">
        <v>145</v>
      </c>
      <c r="F6" s="207" t="s">
        <v>145</v>
      </c>
      <c r="G6" s="207" t="s">
        <v>148</v>
      </c>
      <c r="H6" s="207"/>
      <c r="I6" s="207"/>
      <c r="J6" s="207"/>
      <c r="K6" s="207"/>
      <c r="L6" s="207"/>
      <c r="M6" s="207" t="s">
        <v>35</v>
      </c>
      <c r="N6" s="207" t="s">
        <v>36</v>
      </c>
      <c r="O6" s="207" t="s">
        <v>37</v>
      </c>
      <c r="P6" s="208" t="s">
        <v>149</v>
      </c>
      <c r="Q6" s="210">
        <v>13022354000</v>
      </c>
      <c r="R6" s="210">
        <v>0</v>
      </c>
      <c r="S6" s="210">
        <v>0</v>
      </c>
      <c r="T6" s="210">
        <v>13022354000</v>
      </c>
      <c r="U6" s="210">
        <v>0</v>
      </c>
      <c r="V6" s="210">
        <v>13022354000</v>
      </c>
      <c r="W6" s="210">
        <v>0</v>
      </c>
      <c r="X6" s="210">
        <v>2917228743</v>
      </c>
      <c r="Y6" s="210">
        <v>2917228743</v>
      </c>
      <c r="Z6" s="210">
        <v>2849133543</v>
      </c>
      <c r="AA6" s="210">
        <v>2849133543</v>
      </c>
    </row>
    <row r="7" spans="1:27" ht="33.75" x14ac:dyDescent="0.25">
      <c r="A7" s="207" t="s">
        <v>32</v>
      </c>
      <c r="B7" s="208" t="s">
        <v>33</v>
      </c>
      <c r="C7" s="209" t="s">
        <v>150</v>
      </c>
      <c r="D7" s="207" t="s">
        <v>34</v>
      </c>
      <c r="E7" s="207" t="s">
        <v>145</v>
      </c>
      <c r="F7" s="207" t="s">
        <v>145</v>
      </c>
      <c r="G7" s="207" t="s">
        <v>151</v>
      </c>
      <c r="H7" s="207"/>
      <c r="I7" s="207"/>
      <c r="J7" s="207"/>
      <c r="K7" s="207"/>
      <c r="L7" s="207"/>
      <c r="M7" s="207" t="s">
        <v>35</v>
      </c>
      <c r="N7" s="207" t="s">
        <v>36</v>
      </c>
      <c r="O7" s="207" t="s">
        <v>37</v>
      </c>
      <c r="P7" s="208" t="s">
        <v>152</v>
      </c>
      <c r="Q7" s="210">
        <v>3243609000</v>
      </c>
      <c r="R7" s="210">
        <v>0</v>
      </c>
      <c r="S7" s="210">
        <v>0</v>
      </c>
      <c r="T7" s="210">
        <v>3243609000</v>
      </c>
      <c r="U7" s="210">
        <v>0</v>
      </c>
      <c r="V7" s="210">
        <v>3243609000</v>
      </c>
      <c r="W7" s="210">
        <v>0</v>
      </c>
      <c r="X7" s="210">
        <v>554781032</v>
      </c>
      <c r="Y7" s="210">
        <v>549829824</v>
      </c>
      <c r="Z7" s="210">
        <v>549829824</v>
      </c>
      <c r="AA7" s="210">
        <v>549829824</v>
      </c>
    </row>
    <row r="8" spans="1:27" ht="22.5" x14ac:dyDescent="0.25">
      <c r="A8" s="207" t="s">
        <v>32</v>
      </c>
      <c r="B8" s="208" t="s">
        <v>33</v>
      </c>
      <c r="C8" s="209" t="s">
        <v>153</v>
      </c>
      <c r="D8" s="207" t="s">
        <v>34</v>
      </c>
      <c r="E8" s="207" t="s">
        <v>145</v>
      </c>
      <c r="F8" s="207" t="s">
        <v>145</v>
      </c>
      <c r="G8" s="207" t="s">
        <v>154</v>
      </c>
      <c r="H8" s="207"/>
      <c r="I8" s="207"/>
      <c r="J8" s="207"/>
      <c r="K8" s="207"/>
      <c r="L8" s="207"/>
      <c r="M8" s="207" t="s">
        <v>35</v>
      </c>
      <c r="N8" s="207" t="s">
        <v>36</v>
      </c>
      <c r="O8" s="207" t="s">
        <v>37</v>
      </c>
      <c r="P8" s="208" t="s">
        <v>155</v>
      </c>
      <c r="Q8" s="210">
        <v>1870031000</v>
      </c>
      <c r="R8" s="210">
        <v>0</v>
      </c>
      <c r="S8" s="210">
        <v>0</v>
      </c>
      <c r="T8" s="210">
        <v>1870031000</v>
      </c>
      <c r="U8" s="210">
        <v>1870031000</v>
      </c>
      <c r="V8" s="210">
        <v>0</v>
      </c>
      <c r="W8" s="210">
        <v>0</v>
      </c>
      <c r="X8" s="210">
        <v>0</v>
      </c>
      <c r="Y8" s="210">
        <v>0</v>
      </c>
      <c r="Z8" s="210">
        <v>0</v>
      </c>
      <c r="AA8" s="210">
        <v>0</v>
      </c>
    </row>
    <row r="9" spans="1:27" ht="22.5" x14ac:dyDescent="0.25">
      <c r="A9" s="207" t="s">
        <v>32</v>
      </c>
      <c r="B9" s="208" t="s">
        <v>33</v>
      </c>
      <c r="C9" s="209" t="s">
        <v>156</v>
      </c>
      <c r="D9" s="207" t="s">
        <v>34</v>
      </c>
      <c r="E9" s="207" t="s">
        <v>148</v>
      </c>
      <c r="F9" s="207" t="s">
        <v>145</v>
      </c>
      <c r="G9" s="207"/>
      <c r="H9" s="207"/>
      <c r="I9" s="207"/>
      <c r="J9" s="207"/>
      <c r="K9" s="207"/>
      <c r="L9" s="207"/>
      <c r="M9" s="207" t="s">
        <v>35</v>
      </c>
      <c r="N9" s="207" t="s">
        <v>36</v>
      </c>
      <c r="O9" s="207" t="s">
        <v>37</v>
      </c>
      <c r="P9" s="208" t="s">
        <v>157</v>
      </c>
      <c r="Q9" s="210">
        <v>10000000</v>
      </c>
      <c r="R9" s="210">
        <v>0</v>
      </c>
      <c r="S9" s="210">
        <v>0</v>
      </c>
      <c r="T9" s="210">
        <v>10000000</v>
      </c>
      <c r="U9" s="210">
        <v>0</v>
      </c>
      <c r="V9" s="210">
        <v>7033899</v>
      </c>
      <c r="W9" s="210">
        <v>2966101</v>
      </c>
      <c r="X9" s="210">
        <v>6723879</v>
      </c>
      <c r="Y9" s="210">
        <v>4000000</v>
      </c>
      <c r="Z9" s="210">
        <v>4000000</v>
      </c>
      <c r="AA9" s="210">
        <v>4000000</v>
      </c>
    </row>
    <row r="10" spans="1:27" ht="22.5" x14ac:dyDescent="0.25">
      <c r="A10" s="207" t="s">
        <v>32</v>
      </c>
      <c r="B10" s="208" t="s">
        <v>33</v>
      </c>
      <c r="C10" s="209" t="s">
        <v>158</v>
      </c>
      <c r="D10" s="207" t="s">
        <v>34</v>
      </c>
      <c r="E10" s="207" t="s">
        <v>148</v>
      </c>
      <c r="F10" s="207" t="s">
        <v>148</v>
      </c>
      <c r="G10" s="207"/>
      <c r="H10" s="207"/>
      <c r="I10" s="207"/>
      <c r="J10" s="207"/>
      <c r="K10" s="207"/>
      <c r="L10" s="207"/>
      <c r="M10" s="207" t="s">
        <v>35</v>
      </c>
      <c r="N10" s="207" t="s">
        <v>36</v>
      </c>
      <c r="O10" s="207" t="s">
        <v>37</v>
      </c>
      <c r="P10" s="208" t="s">
        <v>159</v>
      </c>
      <c r="Q10" s="210">
        <v>12666328868</v>
      </c>
      <c r="R10" s="210">
        <v>0</v>
      </c>
      <c r="S10" s="210">
        <v>0</v>
      </c>
      <c r="T10" s="210">
        <v>12666328868</v>
      </c>
      <c r="U10" s="210">
        <v>0</v>
      </c>
      <c r="V10" s="210">
        <v>11000793085</v>
      </c>
      <c r="W10" s="210">
        <v>1665535783</v>
      </c>
      <c r="X10" s="210">
        <v>10193577886.629999</v>
      </c>
      <c r="Y10" s="210">
        <v>3156174721.9099998</v>
      </c>
      <c r="Z10" s="210">
        <v>3155489697.9099998</v>
      </c>
      <c r="AA10" s="210">
        <v>3149692320.9099998</v>
      </c>
    </row>
    <row r="11" spans="1:27" ht="45" x14ac:dyDescent="0.25">
      <c r="A11" s="207" t="s">
        <v>32</v>
      </c>
      <c r="B11" s="208" t="s">
        <v>33</v>
      </c>
      <c r="C11" s="209" t="s">
        <v>160</v>
      </c>
      <c r="D11" s="207" t="s">
        <v>34</v>
      </c>
      <c r="E11" s="207" t="s">
        <v>151</v>
      </c>
      <c r="F11" s="207" t="s">
        <v>148</v>
      </c>
      <c r="G11" s="207" t="s">
        <v>148</v>
      </c>
      <c r="H11" s="207" t="s">
        <v>161</v>
      </c>
      <c r="I11" s="207"/>
      <c r="J11" s="207"/>
      <c r="K11" s="207"/>
      <c r="L11" s="207"/>
      <c r="M11" s="207" t="s">
        <v>35</v>
      </c>
      <c r="N11" s="207" t="s">
        <v>36</v>
      </c>
      <c r="O11" s="207" t="s">
        <v>37</v>
      </c>
      <c r="P11" s="208" t="s">
        <v>43</v>
      </c>
      <c r="Q11" s="210">
        <v>81269000</v>
      </c>
      <c r="R11" s="210">
        <v>0</v>
      </c>
      <c r="S11" s="210">
        <v>0</v>
      </c>
      <c r="T11" s="210">
        <v>81269000</v>
      </c>
      <c r="U11" s="210">
        <v>0</v>
      </c>
      <c r="V11" s="210">
        <v>0</v>
      </c>
      <c r="W11" s="210">
        <v>81269000</v>
      </c>
      <c r="X11" s="210">
        <v>0</v>
      </c>
      <c r="Y11" s="210">
        <v>0</v>
      </c>
      <c r="Z11" s="210">
        <v>0</v>
      </c>
      <c r="AA11" s="210">
        <v>0</v>
      </c>
    </row>
    <row r="12" spans="1:27" ht="45" x14ac:dyDescent="0.25">
      <c r="A12" s="207" t="s">
        <v>32</v>
      </c>
      <c r="B12" s="208" t="s">
        <v>33</v>
      </c>
      <c r="C12" s="209" t="s">
        <v>162</v>
      </c>
      <c r="D12" s="207" t="s">
        <v>34</v>
      </c>
      <c r="E12" s="207" t="s">
        <v>151</v>
      </c>
      <c r="F12" s="207" t="s">
        <v>148</v>
      </c>
      <c r="G12" s="207" t="s">
        <v>148</v>
      </c>
      <c r="H12" s="207" t="s">
        <v>163</v>
      </c>
      <c r="I12" s="207"/>
      <c r="J12" s="207"/>
      <c r="K12" s="207"/>
      <c r="L12" s="207"/>
      <c r="M12" s="207" t="s">
        <v>35</v>
      </c>
      <c r="N12" s="207" t="s">
        <v>36</v>
      </c>
      <c r="O12" s="207" t="s">
        <v>37</v>
      </c>
      <c r="P12" s="208" t="s">
        <v>42</v>
      </c>
      <c r="Q12" s="210">
        <v>206493000</v>
      </c>
      <c r="R12" s="210">
        <v>0</v>
      </c>
      <c r="S12" s="210">
        <v>0</v>
      </c>
      <c r="T12" s="210">
        <v>206493000</v>
      </c>
      <c r="U12" s="210">
        <v>0</v>
      </c>
      <c r="V12" s="210">
        <v>0</v>
      </c>
      <c r="W12" s="210">
        <v>206493000</v>
      </c>
      <c r="X12" s="210">
        <v>0</v>
      </c>
      <c r="Y12" s="210">
        <v>0</v>
      </c>
      <c r="Z12" s="210">
        <v>0</v>
      </c>
      <c r="AA12" s="210">
        <v>0</v>
      </c>
    </row>
    <row r="13" spans="1:27" ht="45" x14ac:dyDescent="0.25">
      <c r="A13" s="207" t="s">
        <v>32</v>
      </c>
      <c r="B13" s="208" t="s">
        <v>33</v>
      </c>
      <c r="C13" s="209" t="s">
        <v>164</v>
      </c>
      <c r="D13" s="207" t="s">
        <v>34</v>
      </c>
      <c r="E13" s="207" t="s">
        <v>151</v>
      </c>
      <c r="F13" s="207" t="s">
        <v>151</v>
      </c>
      <c r="G13" s="207" t="s">
        <v>154</v>
      </c>
      <c r="H13" s="207" t="s">
        <v>165</v>
      </c>
      <c r="I13" s="207"/>
      <c r="J13" s="207"/>
      <c r="K13" s="207"/>
      <c r="L13" s="207"/>
      <c r="M13" s="207" t="s">
        <v>35</v>
      </c>
      <c r="N13" s="207" t="s">
        <v>36</v>
      </c>
      <c r="O13" s="207" t="s">
        <v>37</v>
      </c>
      <c r="P13" s="208" t="s">
        <v>166</v>
      </c>
      <c r="Q13" s="210">
        <v>1446200000</v>
      </c>
      <c r="R13" s="210">
        <v>0</v>
      </c>
      <c r="S13" s="210">
        <v>0</v>
      </c>
      <c r="T13" s="210">
        <v>1446200000</v>
      </c>
      <c r="U13" s="210">
        <v>1446200000</v>
      </c>
      <c r="V13" s="210">
        <v>0</v>
      </c>
      <c r="W13" s="210">
        <v>0</v>
      </c>
      <c r="X13" s="210">
        <v>0</v>
      </c>
      <c r="Y13" s="210">
        <v>0</v>
      </c>
      <c r="Z13" s="210">
        <v>0</v>
      </c>
      <c r="AA13" s="210">
        <v>0</v>
      </c>
    </row>
    <row r="14" spans="1:27" ht="22.5" x14ac:dyDescent="0.25">
      <c r="A14" s="207" t="s">
        <v>32</v>
      </c>
      <c r="B14" s="208" t="s">
        <v>33</v>
      </c>
      <c r="C14" s="209" t="s">
        <v>167</v>
      </c>
      <c r="D14" s="207" t="s">
        <v>34</v>
      </c>
      <c r="E14" s="207" t="s">
        <v>151</v>
      </c>
      <c r="F14" s="207" t="s">
        <v>154</v>
      </c>
      <c r="G14" s="207" t="s">
        <v>148</v>
      </c>
      <c r="H14" s="207" t="s">
        <v>168</v>
      </c>
      <c r="I14" s="207"/>
      <c r="J14" s="207"/>
      <c r="K14" s="207"/>
      <c r="L14" s="207"/>
      <c r="M14" s="207" t="s">
        <v>35</v>
      </c>
      <c r="N14" s="207" t="s">
        <v>36</v>
      </c>
      <c r="O14" s="207" t="s">
        <v>37</v>
      </c>
      <c r="P14" s="208" t="s">
        <v>169</v>
      </c>
      <c r="Q14" s="210">
        <v>418365000</v>
      </c>
      <c r="R14" s="210">
        <v>0</v>
      </c>
      <c r="S14" s="210">
        <v>0</v>
      </c>
      <c r="T14" s="210">
        <v>418365000</v>
      </c>
      <c r="U14" s="210">
        <v>0</v>
      </c>
      <c r="V14" s="210">
        <v>418365000</v>
      </c>
      <c r="W14" s="210">
        <v>0</v>
      </c>
      <c r="X14" s="210">
        <v>96002907.920000002</v>
      </c>
      <c r="Y14" s="210">
        <v>95689074.079999998</v>
      </c>
      <c r="Z14" s="210">
        <v>95689074.079999998</v>
      </c>
      <c r="AA14" s="210">
        <v>95689074.079999998</v>
      </c>
    </row>
    <row r="15" spans="1:27" ht="33.75" x14ac:dyDescent="0.25">
      <c r="A15" s="207" t="s">
        <v>32</v>
      </c>
      <c r="B15" s="208" t="s">
        <v>33</v>
      </c>
      <c r="C15" s="209" t="s">
        <v>170</v>
      </c>
      <c r="D15" s="207" t="s">
        <v>34</v>
      </c>
      <c r="E15" s="207" t="s">
        <v>151</v>
      </c>
      <c r="F15" s="207" t="s">
        <v>154</v>
      </c>
      <c r="G15" s="207" t="s">
        <v>148</v>
      </c>
      <c r="H15" s="207" t="s">
        <v>171</v>
      </c>
      <c r="I15" s="207"/>
      <c r="J15" s="207"/>
      <c r="K15" s="207"/>
      <c r="L15" s="207"/>
      <c r="M15" s="207" t="s">
        <v>35</v>
      </c>
      <c r="N15" s="207" t="s">
        <v>36</v>
      </c>
      <c r="O15" s="207" t="s">
        <v>37</v>
      </c>
      <c r="P15" s="208" t="s">
        <v>212</v>
      </c>
      <c r="Q15" s="210">
        <v>128770000</v>
      </c>
      <c r="R15" s="210">
        <v>0</v>
      </c>
      <c r="S15" s="210">
        <v>0</v>
      </c>
      <c r="T15" s="210">
        <v>128770000</v>
      </c>
      <c r="U15" s="210">
        <v>0</v>
      </c>
      <c r="V15" s="210">
        <v>128770000</v>
      </c>
      <c r="W15" s="210">
        <v>0</v>
      </c>
      <c r="X15" s="210">
        <v>2272367</v>
      </c>
      <c r="Y15" s="210">
        <v>2272367</v>
      </c>
      <c r="Z15" s="210">
        <v>2272367</v>
      </c>
      <c r="AA15" s="210">
        <v>2272367</v>
      </c>
    </row>
    <row r="16" spans="1:27" ht="33.75" x14ac:dyDescent="0.25">
      <c r="A16" s="207" t="s">
        <v>32</v>
      </c>
      <c r="B16" s="208" t="s">
        <v>33</v>
      </c>
      <c r="C16" s="209" t="s">
        <v>172</v>
      </c>
      <c r="D16" s="207" t="s">
        <v>34</v>
      </c>
      <c r="E16" s="207" t="s">
        <v>151</v>
      </c>
      <c r="F16" s="207" t="s">
        <v>154</v>
      </c>
      <c r="G16" s="207" t="s">
        <v>148</v>
      </c>
      <c r="H16" s="207" t="s">
        <v>173</v>
      </c>
      <c r="I16" s="207"/>
      <c r="J16" s="207"/>
      <c r="K16" s="207"/>
      <c r="L16" s="207"/>
      <c r="M16" s="207" t="s">
        <v>35</v>
      </c>
      <c r="N16" s="207" t="s">
        <v>36</v>
      </c>
      <c r="O16" s="207" t="s">
        <v>37</v>
      </c>
      <c r="P16" s="208" t="s">
        <v>174</v>
      </c>
      <c r="Q16" s="210">
        <v>626000000</v>
      </c>
      <c r="R16" s="210">
        <v>0</v>
      </c>
      <c r="S16" s="210">
        <v>0</v>
      </c>
      <c r="T16" s="210">
        <v>626000000</v>
      </c>
      <c r="U16" s="210">
        <v>0</v>
      </c>
      <c r="V16" s="210">
        <v>626000000</v>
      </c>
      <c r="W16" s="210">
        <v>0</v>
      </c>
      <c r="X16" s="210">
        <v>227950485</v>
      </c>
      <c r="Y16" s="210">
        <v>227950485</v>
      </c>
      <c r="Z16" s="210">
        <v>227950485</v>
      </c>
      <c r="AA16" s="210">
        <v>227950485</v>
      </c>
    </row>
    <row r="17" spans="1:27" ht="22.5" x14ac:dyDescent="0.25">
      <c r="A17" s="207" t="s">
        <v>32</v>
      </c>
      <c r="B17" s="208" t="s">
        <v>33</v>
      </c>
      <c r="C17" s="209" t="s">
        <v>175</v>
      </c>
      <c r="D17" s="207" t="s">
        <v>34</v>
      </c>
      <c r="E17" s="207" t="s">
        <v>151</v>
      </c>
      <c r="F17" s="207" t="s">
        <v>41</v>
      </c>
      <c r="G17" s="207" t="s">
        <v>145</v>
      </c>
      <c r="H17" s="207" t="s">
        <v>168</v>
      </c>
      <c r="I17" s="207"/>
      <c r="J17" s="207"/>
      <c r="K17" s="207"/>
      <c r="L17" s="207"/>
      <c r="M17" s="207" t="s">
        <v>35</v>
      </c>
      <c r="N17" s="207" t="s">
        <v>36</v>
      </c>
      <c r="O17" s="207" t="s">
        <v>37</v>
      </c>
      <c r="P17" s="208" t="s">
        <v>176</v>
      </c>
      <c r="Q17" s="210">
        <v>2060000000</v>
      </c>
      <c r="R17" s="210">
        <v>0</v>
      </c>
      <c r="S17" s="210">
        <v>0</v>
      </c>
      <c r="T17" s="210">
        <v>2060000000</v>
      </c>
      <c r="U17" s="210">
        <v>0</v>
      </c>
      <c r="V17" s="210">
        <v>304183536</v>
      </c>
      <c r="W17" s="210">
        <v>1755816464</v>
      </c>
      <c r="X17" s="210">
        <v>233721909</v>
      </c>
      <c r="Y17" s="210">
        <v>233721909</v>
      </c>
      <c r="Z17" s="210">
        <v>230064169</v>
      </c>
      <c r="AA17" s="210">
        <v>230064169</v>
      </c>
    </row>
    <row r="18" spans="1:27" ht="22.5" x14ac:dyDescent="0.25">
      <c r="A18" s="207" t="s">
        <v>32</v>
      </c>
      <c r="B18" s="208" t="s">
        <v>33</v>
      </c>
      <c r="C18" s="209" t="s">
        <v>177</v>
      </c>
      <c r="D18" s="207" t="s">
        <v>34</v>
      </c>
      <c r="E18" s="207" t="s">
        <v>151</v>
      </c>
      <c r="F18" s="207" t="s">
        <v>41</v>
      </c>
      <c r="G18" s="207" t="s">
        <v>145</v>
      </c>
      <c r="H18" s="207" t="s">
        <v>178</v>
      </c>
      <c r="I18" s="207"/>
      <c r="J18" s="207"/>
      <c r="K18" s="207"/>
      <c r="L18" s="207"/>
      <c r="M18" s="207" t="s">
        <v>35</v>
      </c>
      <c r="N18" s="207" t="s">
        <v>36</v>
      </c>
      <c r="O18" s="207" t="s">
        <v>37</v>
      </c>
      <c r="P18" s="208" t="s">
        <v>179</v>
      </c>
      <c r="Q18" s="210">
        <v>2060000000</v>
      </c>
      <c r="R18" s="210">
        <v>0</v>
      </c>
      <c r="S18" s="210">
        <v>0</v>
      </c>
      <c r="T18" s="210">
        <v>2060000000</v>
      </c>
      <c r="U18" s="210">
        <v>0</v>
      </c>
      <c r="V18" s="210">
        <v>399085065</v>
      </c>
      <c r="W18" s="210">
        <v>1660914935</v>
      </c>
      <c r="X18" s="210">
        <v>317249945</v>
      </c>
      <c r="Y18" s="210">
        <v>313155094</v>
      </c>
      <c r="Z18" s="210">
        <v>311775671</v>
      </c>
      <c r="AA18" s="210">
        <v>311775671</v>
      </c>
    </row>
    <row r="19" spans="1:27" ht="22.5" x14ac:dyDescent="0.25">
      <c r="A19" s="207" t="s">
        <v>32</v>
      </c>
      <c r="B19" s="208" t="s">
        <v>33</v>
      </c>
      <c r="C19" s="209" t="s">
        <v>180</v>
      </c>
      <c r="D19" s="207" t="s">
        <v>34</v>
      </c>
      <c r="E19" s="207" t="s">
        <v>181</v>
      </c>
      <c r="F19" s="207" t="s">
        <v>145</v>
      </c>
      <c r="G19" s="207"/>
      <c r="H19" s="207"/>
      <c r="I19" s="207"/>
      <c r="J19" s="207"/>
      <c r="K19" s="207"/>
      <c r="L19" s="207"/>
      <c r="M19" s="207" t="s">
        <v>35</v>
      </c>
      <c r="N19" s="207" t="s">
        <v>36</v>
      </c>
      <c r="O19" s="207" t="s">
        <v>37</v>
      </c>
      <c r="P19" s="208" t="s">
        <v>182</v>
      </c>
      <c r="Q19" s="210">
        <v>51500000</v>
      </c>
      <c r="R19" s="210">
        <v>0</v>
      </c>
      <c r="S19" s="210">
        <v>0</v>
      </c>
      <c r="T19" s="210">
        <v>51500000</v>
      </c>
      <c r="U19" s="210">
        <v>0</v>
      </c>
      <c r="V19" s="210">
        <v>2342000</v>
      </c>
      <c r="W19" s="210">
        <v>49158000</v>
      </c>
      <c r="X19" s="210">
        <v>2319000</v>
      </c>
      <c r="Y19" s="210">
        <v>2319000</v>
      </c>
      <c r="Z19" s="210">
        <v>2319000</v>
      </c>
      <c r="AA19" s="210">
        <v>0</v>
      </c>
    </row>
    <row r="20" spans="1:27" ht="22.5" x14ac:dyDescent="0.25">
      <c r="A20" s="207" t="s">
        <v>32</v>
      </c>
      <c r="B20" s="208" t="s">
        <v>33</v>
      </c>
      <c r="C20" s="209" t="s">
        <v>183</v>
      </c>
      <c r="D20" s="207" t="s">
        <v>34</v>
      </c>
      <c r="E20" s="207" t="s">
        <v>181</v>
      </c>
      <c r="F20" s="207" t="s">
        <v>154</v>
      </c>
      <c r="G20" s="207" t="s">
        <v>145</v>
      </c>
      <c r="H20" s="207"/>
      <c r="I20" s="207"/>
      <c r="J20" s="207"/>
      <c r="K20" s="207"/>
      <c r="L20" s="207"/>
      <c r="M20" s="207" t="s">
        <v>35</v>
      </c>
      <c r="N20" s="207" t="s">
        <v>36</v>
      </c>
      <c r="O20" s="207" t="s">
        <v>37</v>
      </c>
      <c r="P20" s="208" t="s">
        <v>184</v>
      </c>
      <c r="Q20" s="210">
        <v>236758000</v>
      </c>
      <c r="R20" s="210">
        <v>0</v>
      </c>
      <c r="S20" s="210">
        <v>0</v>
      </c>
      <c r="T20" s="210">
        <v>236758000</v>
      </c>
      <c r="U20" s="210">
        <v>0</v>
      </c>
      <c r="V20" s="210">
        <v>581561.67000000004</v>
      </c>
      <c r="W20" s="210">
        <v>236176438.33000001</v>
      </c>
      <c r="X20" s="210">
        <v>576292</v>
      </c>
      <c r="Y20" s="210">
        <v>576292</v>
      </c>
      <c r="Z20" s="210">
        <v>0</v>
      </c>
      <c r="AA20" s="210">
        <v>0</v>
      </c>
    </row>
    <row r="21" spans="1:27" ht="56.25" x14ac:dyDescent="0.25">
      <c r="A21" s="207" t="s">
        <v>32</v>
      </c>
      <c r="B21" s="208" t="s">
        <v>33</v>
      </c>
      <c r="C21" s="209" t="s">
        <v>140</v>
      </c>
      <c r="D21" s="207" t="s">
        <v>45</v>
      </c>
      <c r="E21" s="207" t="s">
        <v>46</v>
      </c>
      <c r="F21" s="207" t="s">
        <v>47</v>
      </c>
      <c r="G21" s="207" t="s">
        <v>40</v>
      </c>
      <c r="H21" s="207"/>
      <c r="I21" s="207"/>
      <c r="J21" s="207"/>
      <c r="K21" s="207"/>
      <c r="L21" s="207"/>
      <c r="M21" s="207" t="s">
        <v>35</v>
      </c>
      <c r="N21" s="207" t="s">
        <v>36</v>
      </c>
      <c r="O21" s="207" t="s">
        <v>37</v>
      </c>
      <c r="P21" s="208" t="s">
        <v>185</v>
      </c>
      <c r="Q21" s="210">
        <v>39427254112</v>
      </c>
      <c r="R21" s="210">
        <v>0</v>
      </c>
      <c r="S21" s="210">
        <v>0</v>
      </c>
      <c r="T21" s="210">
        <v>39427254112</v>
      </c>
      <c r="U21" s="210">
        <v>0</v>
      </c>
      <c r="V21" s="210">
        <v>31416597801</v>
      </c>
      <c r="W21" s="210">
        <v>8010656311</v>
      </c>
      <c r="X21" s="210">
        <v>21064185862</v>
      </c>
      <c r="Y21" s="210">
        <v>3042809110.3299999</v>
      </c>
      <c r="Z21" s="210">
        <v>3032052870.3299999</v>
      </c>
      <c r="AA21" s="210">
        <v>3032052870.3299999</v>
      </c>
    </row>
    <row r="22" spans="1:27" ht="45" x14ac:dyDescent="0.25">
      <c r="A22" s="207" t="s">
        <v>32</v>
      </c>
      <c r="B22" s="208" t="s">
        <v>33</v>
      </c>
      <c r="C22" s="209" t="s">
        <v>186</v>
      </c>
      <c r="D22" s="207" t="s">
        <v>45</v>
      </c>
      <c r="E22" s="207" t="s">
        <v>46</v>
      </c>
      <c r="F22" s="207" t="s">
        <v>47</v>
      </c>
      <c r="G22" s="207" t="s">
        <v>41</v>
      </c>
      <c r="H22" s="207"/>
      <c r="I22" s="207"/>
      <c r="J22" s="207"/>
      <c r="K22" s="207"/>
      <c r="L22" s="207"/>
      <c r="M22" s="207" t="s">
        <v>35</v>
      </c>
      <c r="N22" s="207" t="s">
        <v>36</v>
      </c>
      <c r="O22" s="207" t="s">
        <v>37</v>
      </c>
      <c r="P22" s="208" t="s">
        <v>187</v>
      </c>
      <c r="Q22" s="210">
        <v>909785125</v>
      </c>
      <c r="R22" s="210">
        <v>0</v>
      </c>
      <c r="S22" s="210">
        <v>0</v>
      </c>
      <c r="T22" s="210">
        <v>909785125</v>
      </c>
      <c r="U22" s="210">
        <v>0</v>
      </c>
      <c r="V22" s="210">
        <v>901971120</v>
      </c>
      <c r="W22" s="210">
        <v>7814005</v>
      </c>
      <c r="X22" s="210">
        <v>754160996</v>
      </c>
      <c r="Y22" s="210">
        <v>168270674</v>
      </c>
      <c r="Z22" s="210">
        <v>168270674</v>
      </c>
      <c r="AA22" s="210">
        <v>168270674</v>
      </c>
    </row>
    <row r="23" spans="1:27" ht="56.25" x14ac:dyDescent="0.25">
      <c r="A23" s="207" t="s">
        <v>32</v>
      </c>
      <c r="B23" s="208" t="s">
        <v>33</v>
      </c>
      <c r="C23" s="209" t="s">
        <v>188</v>
      </c>
      <c r="D23" s="207" t="s">
        <v>45</v>
      </c>
      <c r="E23" s="207" t="s">
        <v>46</v>
      </c>
      <c r="F23" s="207" t="s">
        <v>47</v>
      </c>
      <c r="G23" s="207" t="s">
        <v>189</v>
      </c>
      <c r="H23" s="207"/>
      <c r="I23" s="207"/>
      <c r="J23" s="207"/>
      <c r="K23" s="207"/>
      <c r="L23" s="207"/>
      <c r="M23" s="207" t="s">
        <v>35</v>
      </c>
      <c r="N23" s="207" t="s">
        <v>36</v>
      </c>
      <c r="O23" s="207" t="s">
        <v>37</v>
      </c>
      <c r="P23" s="208" t="s">
        <v>190</v>
      </c>
      <c r="Q23" s="210">
        <v>3601793401</v>
      </c>
      <c r="R23" s="210">
        <v>0</v>
      </c>
      <c r="S23" s="210">
        <v>0</v>
      </c>
      <c r="T23" s="210">
        <v>3601793401</v>
      </c>
      <c r="U23" s="210">
        <v>0</v>
      </c>
      <c r="V23" s="210">
        <v>3538856637</v>
      </c>
      <c r="W23" s="210">
        <v>62936764</v>
      </c>
      <c r="X23" s="210">
        <v>2178726688</v>
      </c>
      <c r="Y23" s="210">
        <v>685881531</v>
      </c>
      <c r="Z23" s="210">
        <v>685881531</v>
      </c>
      <c r="AA23" s="210">
        <v>685881531</v>
      </c>
    </row>
    <row r="24" spans="1:27" ht="33.75" x14ac:dyDescent="0.25">
      <c r="A24" s="207" t="s">
        <v>32</v>
      </c>
      <c r="B24" s="208" t="s">
        <v>33</v>
      </c>
      <c r="C24" s="209" t="s">
        <v>191</v>
      </c>
      <c r="D24" s="207" t="s">
        <v>45</v>
      </c>
      <c r="E24" s="207" t="s">
        <v>46</v>
      </c>
      <c r="F24" s="207" t="s">
        <v>47</v>
      </c>
      <c r="G24" s="207" t="s">
        <v>192</v>
      </c>
      <c r="H24" s="207"/>
      <c r="I24" s="207"/>
      <c r="J24" s="207"/>
      <c r="K24" s="207"/>
      <c r="L24" s="207"/>
      <c r="M24" s="207" t="s">
        <v>35</v>
      </c>
      <c r="N24" s="207" t="s">
        <v>36</v>
      </c>
      <c r="O24" s="207" t="s">
        <v>37</v>
      </c>
      <c r="P24" s="208" t="s">
        <v>193</v>
      </c>
      <c r="Q24" s="210">
        <v>2591894878</v>
      </c>
      <c r="R24" s="210">
        <v>0</v>
      </c>
      <c r="S24" s="210">
        <v>0</v>
      </c>
      <c r="T24" s="210">
        <v>2591894878</v>
      </c>
      <c r="U24" s="210">
        <v>0</v>
      </c>
      <c r="V24" s="210">
        <v>2521525922</v>
      </c>
      <c r="W24" s="210">
        <v>70368956</v>
      </c>
      <c r="X24" s="210">
        <v>2393287961</v>
      </c>
      <c r="Y24" s="210">
        <v>489872044</v>
      </c>
      <c r="Z24" s="210">
        <v>489872044</v>
      </c>
      <c r="AA24" s="210">
        <v>489872044</v>
      </c>
    </row>
    <row r="25" spans="1:27" ht="56.25" x14ac:dyDescent="0.25">
      <c r="A25" s="207" t="s">
        <v>32</v>
      </c>
      <c r="B25" s="208" t="s">
        <v>33</v>
      </c>
      <c r="C25" s="209" t="s">
        <v>194</v>
      </c>
      <c r="D25" s="207" t="s">
        <v>45</v>
      </c>
      <c r="E25" s="207" t="s">
        <v>46</v>
      </c>
      <c r="F25" s="207" t="s">
        <v>47</v>
      </c>
      <c r="G25" s="207" t="s">
        <v>195</v>
      </c>
      <c r="H25" s="207"/>
      <c r="I25" s="207"/>
      <c r="J25" s="207"/>
      <c r="K25" s="207"/>
      <c r="L25" s="207"/>
      <c r="M25" s="207" t="s">
        <v>35</v>
      </c>
      <c r="N25" s="207" t="s">
        <v>36</v>
      </c>
      <c r="O25" s="207" t="s">
        <v>37</v>
      </c>
      <c r="P25" s="208" t="s">
        <v>196</v>
      </c>
      <c r="Q25" s="210">
        <v>8032499000</v>
      </c>
      <c r="R25" s="210">
        <v>0</v>
      </c>
      <c r="S25" s="210">
        <v>0</v>
      </c>
      <c r="T25" s="210">
        <v>8032499000</v>
      </c>
      <c r="U25" s="210">
        <v>0</v>
      </c>
      <c r="V25" s="210">
        <v>7921695460</v>
      </c>
      <c r="W25" s="210">
        <v>110803540</v>
      </c>
      <c r="X25" s="210">
        <v>6692352563</v>
      </c>
      <c r="Y25" s="210">
        <v>1346823614</v>
      </c>
      <c r="Z25" s="210">
        <v>1345926646</v>
      </c>
      <c r="AA25" s="210">
        <v>1345926646</v>
      </c>
    </row>
    <row r="26" spans="1:27" ht="67.5" x14ac:dyDescent="0.25">
      <c r="A26" s="207" t="s">
        <v>32</v>
      </c>
      <c r="B26" s="208" t="s">
        <v>33</v>
      </c>
      <c r="C26" s="209" t="s">
        <v>197</v>
      </c>
      <c r="D26" s="207" t="s">
        <v>45</v>
      </c>
      <c r="E26" s="207" t="s">
        <v>46</v>
      </c>
      <c r="F26" s="207" t="s">
        <v>47</v>
      </c>
      <c r="G26" s="207" t="s">
        <v>198</v>
      </c>
      <c r="H26" s="207"/>
      <c r="I26" s="207"/>
      <c r="J26" s="207"/>
      <c r="K26" s="207"/>
      <c r="L26" s="207"/>
      <c r="M26" s="207" t="s">
        <v>35</v>
      </c>
      <c r="N26" s="207" t="s">
        <v>36</v>
      </c>
      <c r="O26" s="207" t="s">
        <v>37</v>
      </c>
      <c r="P26" s="208" t="s">
        <v>199</v>
      </c>
      <c r="Q26" s="210">
        <v>8791562000</v>
      </c>
      <c r="R26" s="210">
        <v>0</v>
      </c>
      <c r="S26" s="210">
        <v>0</v>
      </c>
      <c r="T26" s="210">
        <v>8791562000</v>
      </c>
      <c r="U26" s="210">
        <v>0</v>
      </c>
      <c r="V26" s="210">
        <v>7153168947</v>
      </c>
      <c r="W26" s="210">
        <v>1638393053</v>
      </c>
      <c r="X26" s="210">
        <v>6713861204</v>
      </c>
      <c r="Y26" s="210">
        <v>925935189</v>
      </c>
      <c r="Z26" s="210">
        <v>925935189</v>
      </c>
      <c r="AA26" s="210">
        <v>925935189</v>
      </c>
    </row>
    <row r="27" spans="1:27" ht="56.25" x14ac:dyDescent="0.25">
      <c r="A27" s="207" t="s">
        <v>32</v>
      </c>
      <c r="B27" s="208" t="s">
        <v>33</v>
      </c>
      <c r="C27" s="209" t="s">
        <v>200</v>
      </c>
      <c r="D27" s="207" t="s">
        <v>45</v>
      </c>
      <c r="E27" s="207" t="s">
        <v>46</v>
      </c>
      <c r="F27" s="207" t="s">
        <v>47</v>
      </c>
      <c r="G27" s="207" t="s">
        <v>201</v>
      </c>
      <c r="H27" s="207"/>
      <c r="I27" s="207"/>
      <c r="J27" s="207"/>
      <c r="K27" s="207"/>
      <c r="L27" s="207"/>
      <c r="M27" s="207" t="s">
        <v>35</v>
      </c>
      <c r="N27" s="207" t="s">
        <v>36</v>
      </c>
      <c r="O27" s="207" t="s">
        <v>37</v>
      </c>
      <c r="P27" s="208" t="s">
        <v>202</v>
      </c>
      <c r="Q27" s="210">
        <v>5305076993</v>
      </c>
      <c r="R27" s="210">
        <v>3800621579</v>
      </c>
      <c r="S27" s="210">
        <v>0</v>
      </c>
      <c r="T27" s="210">
        <v>9105698572</v>
      </c>
      <c r="U27" s="210">
        <v>0</v>
      </c>
      <c r="V27" s="210">
        <v>7581418064</v>
      </c>
      <c r="W27" s="210">
        <v>1524280508</v>
      </c>
      <c r="X27" s="210">
        <v>5867635676</v>
      </c>
      <c r="Y27" s="210">
        <v>649237616</v>
      </c>
      <c r="Z27" s="210">
        <v>649237616</v>
      </c>
      <c r="AA27" s="210">
        <v>649237616</v>
      </c>
    </row>
    <row r="28" spans="1:27" ht="123.75" x14ac:dyDescent="0.25">
      <c r="A28" s="207" t="s">
        <v>32</v>
      </c>
      <c r="B28" s="208" t="s">
        <v>33</v>
      </c>
      <c r="C28" s="209" t="s">
        <v>203</v>
      </c>
      <c r="D28" s="207" t="s">
        <v>45</v>
      </c>
      <c r="E28" s="207" t="s">
        <v>46</v>
      </c>
      <c r="F28" s="207" t="s">
        <v>47</v>
      </c>
      <c r="G28" s="207" t="s">
        <v>204</v>
      </c>
      <c r="H28" s="207"/>
      <c r="I28" s="207"/>
      <c r="J28" s="207"/>
      <c r="K28" s="207"/>
      <c r="L28" s="207"/>
      <c r="M28" s="207" t="s">
        <v>49</v>
      </c>
      <c r="N28" s="207" t="s">
        <v>189</v>
      </c>
      <c r="O28" s="207" t="s">
        <v>37</v>
      </c>
      <c r="P28" s="208" t="s">
        <v>205</v>
      </c>
      <c r="Q28" s="210">
        <v>347886828</v>
      </c>
      <c r="R28" s="210">
        <v>0</v>
      </c>
      <c r="S28" s="210">
        <v>0</v>
      </c>
      <c r="T28" s="210">
        <v>347886828</v>
      </c>
      <c r="U28" s="210">
        <v>0</v>
      </c>
      <c r="V28" s="210">
        <v>307238013</v>
      </c>
      <c r="W28" s="210">
        <v>40648815</v>
      </c>
      <c r="X28" s="210">
        <v>251265022</v>
      </c>
      <c r="Y28" s="210">
        <v>51466000</v>
      </c>
      <c r="Z28" s="210">
        <v>51466000</v>
      </c>
      <c r="AA28" s="210">
        <v>51466000</v>
      </c>
    </row>
    <row r="29" spans="1:27" ht="123.75" x14ac:dyDescent="0.25">
      <c r="A29" s="207" t="s">
        <v>32</v>
      </c>
      <c r="B29" s="208" t="s">
        <v>33</v>
      </c>
      <c r="C29" s="209" t="s">
        <v>203</v>
      </c>
      <c r="D29" s="207" t="s">
        <v>45</v>
      </c>
      <c r="E29" s="207" t="s">
        <v>46</v>
      </c>
      <c r="F29" s="207" t="s">
        <v>47</v>
      </c>
      <c r="G29" s="207" t="s">
        <v>204</v>
      </c>
      <c r="H29" s="207"/>
      <c r="I29" s="207"/>
      <c r="J29" s="207"/>
      <c r="K29" s="207"/>
      <c r="L29" s="207"/>
      <c r="M29" s="207" t="s">
        <v>35</v>
      </c>
      <c r="N29" s="207" t="s">
        <v>36</v>
      </c>
      <c r="O29" s="207" t="s">
        <v>37</v>
      </c>
      <c r="P29" s="208" t="s">
        <v>205</v>
      </c>
      <c r="Q29" s="210">
        <v>4421453037</v>
      </c>
      <c r="R29" s="210">
        <v>0</v>
      </c>
      <c r="S29" s="210">
        <v>0</v>
      </c>
      <c r="T29" s="210">
        <v>4421453037</v>
      </c>
      <c r="U29" s="210">
        <v>0</v>
      </c>
      <c r="V29" s="210">
        <v>4229291153</v>
      </c>
      <c r="W29" s="210">
        <v>192161884</v>
      </c>
      <c r="X29" s="210">
        <v>3792797628</v>
      </c>
      <c r="Y29" s="210">
        <v>840835713</v>
      </c>
      <c r="Z29" s="210">
        <v>840835713</v>
      </c>
      <c r="AA29" s="210">
        <v>840835713</v>
      </c>
    </row>
    <row r="30" spans="1:27" ht="56.25" x14ac:dyDescent="0.25">
      <c r="A30" s="207" t="s">
        <v>32</v>
      </c>
      <c r="B30" s="208" t="s">
        <v>33</v>
      </c>
      <c r="C30" s="209" t="s">
        <v>137</v>
      </c>
      <c r="D30" s="207" t="s">
        <v>45</v>
      </c>
      <c r="E30" s="207" t="s">
        <v>52</v>
      </c>
      <c r="F30" s="207" t="s">
        <v>47</v>
      </c>
      <c r="G30" s="207" t="s">
        <v>38</v>
      </c>
      <c r="H30" s="207"/>
      <c r="I30" s="207"/>
      <c r="J30" s="207"/>
      <c r="K30" s="207"/>
      <c r="L30" s="207"/>
      <c r="M30" s="207" t="s">
        <v>35</v>
      </c>
      <c r="N30" s="207" t="s">
        <v>36</v>
      </c>
      <c r="O30" s="207" t="s">
        <v>37</v>
      </c>
      <c r="P30" s="208" t="s">
        <v>138</v>
      </c>
      <c r="Q30" s="210">
        <v>319795653</v>
      </c>
      <c r="R30" s="210">
        <v>0</v>
      </c>
      <c r="S30" s="210">
        <v>0</v>
      </c>
      <c r="T30" s="210">
        <v>319795653</v>
      </c>
      <c r="U30" s="210">
        <v>0</v>
      </c>
      <c r="V30" s="210">
        <v>0</v>
      </c>
      <c r="W30" s="210">
        <v>319795653</v>
      </c>
      <c r="X30" s="210">
        <v>0</v>
      </c>
      <c r="Y30" s="210">
        <v>0</v>
      </c>
      <c r="Z30" s="210">
        <v>0</v>
      </c>
      <c r="AA30" s="210">
        <v>0</v>
      </c>
    </row>
    <row r="31" spans="1:27" ht="56.25" x14ac:dyDescent="0.25">
      <c r="A31" s="207" t="s">
        <v>32</v>
      </c>
      <c r="B31" s="208" t="s">
        <v>33</v>
      </c>
      <c r="C31" s="209" t="s">
        <v>137</v>
      </c>
      <c r="D31" s="207" t="s">
        <v>45</v>
      </c>
      <c r="E31" s="207" t="s">
        <v>52</v>
      </c>
      <c r="F31" s="207" t="s">
        <v>47</v>
      </c>
      <c r="G31" s="207" t="s">
        <v>38</v>
      </c>
      <c r="H31" s="207"/>
      <c r="I31" s="207"/>
      <c r="J31" s="207"/>
      <c r="K31" s="207"/>
      <c r="L31" s="207"/>
      <c r="M31" s="207" t="s">
        <v>35</v>
      </c>
      <c r="N31" s="207" t="s">
        <v>48</v>
      </c>
      <c r="O31" s="207" t="s">
        <v>37</v>
      </c>
      <c r="P31" s="208" t="s">
        <v>138</v>
      </c>
      <c r="Q31" s="210">
        <v>29942724538</v>
      </c>
      <c r="R31" s="210">
        <v>0</v>
      </c>
      <c r="S31" s="210">
        <v>0</v>
      </c>
      <c r="T31" s="210">
        <v>29942724538</v>
      </c>
      <c r="U31" s="210">
        <v>0</v>
      </c>
      <c r="V31" s="210">
        <v>0</v>
      </c>
      <c r="W31" s="210">
        <v>29942724538</v>
      </c>
      <c r="X31" s="210">
        <v>0</v>
      </c>
      <c r="Y31" s="210">
        <v>0</v>
      </c>
      <c r="Z31" s="210">
        <v>0</v>
      </c>
      <c r="AA31" s="210">
        <v>0</v>
      </c>
    </row>
    <row r="32" spans="1:27" ht="56.25" x14ac:dyDescent="0.25">
      <c r="A32" s="207" t="s">
        <v>32</v>
      </c>
      <c r="B32" s="208" t="s">
        <v>33</v>
      </c>
      <c r="C32" s="209" t="s">
        <v>141</v>
      </c>
      <c r="D32" s="207" t="s">
        <v>45</v>
      </c>
      <c r="E32" s="207" t="s">
        <v>52</v>
      </c>
      <c r="F32" s="207" t="s">
        <v>47</v>
      </c>
      <c r="G32" s="207" t="s">
        <v>39</v>
      </c>
      <c r="H32" s="207"/>
      <c r="I32" s="207"/>
      <c r="J32" s="207"/>
      <c r="K32" s="207"/>
      <c r="L32" s="207"/>
      <c r="M32" s="207" t="s">
        <v>35</v>
      </c>
      <c r="N32" s="207" t="s">
        <v>36</v>
      </c>
      <c r="O32" s="207" t="s">
        <v>37</v>
      </c>
      <c r="P32" s="208" t="s">
        <v>206</v>
      </c>
      <c r="Q32" s="210">
        <v>4949859998</v>
      </c>
      <c r="R32" s="210">
        <v>0</v>
      </c>
      <c r="S32" s="210">
        <v>0</v>
      </c>
      <c r="T32" s="210">
        <v>4949859998</v>
      </c>
      <c r="U32" s="210">
        <v>0</v>
      </c>
      <c r="V32" s="210">
        <v>4391773949</v>
      </c>
      <c r="W32" s="210">
        <v>558086049</v>
      </c>
      <c r="X32" s="210">
        <v>4356734115</v>
      </c>
      <c r="Y32" s="210">
        <v>707445300.57000005</v>
      </c>
      <c r="Z32" s="210">
        <v>707445300.57000005</v>
      </c>
      <c r="AA32" s="210">
        <v>707445300.57000005</v>
      </c>
    </row>
    <row r="33" spans="1:27" ht="56.25" x14ac:dyDescent="0.25">
      <c r="A33" s="207" t="s">
        <v>32</v>
      </c>
      <c r="B33" s="208" t="s">
        <v>33</v>
      </c>
      <c r="C33" s="209" t="s">
        <v>141</v>
      </c>
      <c r="D33" s="207" t="s">
        <v>45</v>
      </c>
      <c r="E33" s="207" t="s">
        <v>52</v>
      </c>
      <c r="F33" s="207" t="s">
        <v>47</v>
      </c>
      <c r="G33" s="207" t="s">
        <v>39</v>
      </c>
      <c r="H33" s="207"/>
      <c r="I33" s="207"/>
      <c r="J33" s="207"/>
      <c r="K33" s="207"/>
      <c r="L33" s="207"/>
      <c r="M33" s="207" t="s">
        <v>35</v>
      </c>
      <c r="N33" s="207" t="s">
        <v>48</v>
      </c>
      <c r="O33" s="207" t="s">
        <v>37</v>
      </c>
      <c r="P33" s="208" t="s">
        <v>206</v>
      </c>
      <c r="Q33" s="210">
        <v>23100846801</v>
      </c>
      <c r="R33" s="210">
        <v>0</v>
      </c>
      <c r="S33" s="210">
        <v>0</v>
      </c>
      <c r="T33" s="210">
        <v>23100846801</v>
      </c>
      <c r="U33" s="210">
        <v>0</v>
      </c>
      <c r="V33" s="210">
        <v>20193572003.799999</v>
      </c>
      <c r="W33" s="210">
        <v>2907274797.1999998</v>
      </c>
      <c r="X33" s="210">
        <v>16810856103.6</v>
      </c>
      <c r="Y33" s="210">
        <v>1211029954</v>
      </c>
      <c r="Z33" s="210">
        <v>1209930368</v>
      </c>
      <c r="AA33" s="210">
        <v>1209930368</v>
      </c>
    </row>
    <row r="34" spans="1:27" ht="67.5" x14ac:dyDescent="0.25">
      <c r="A34" s="207" t="s">
        <v>32</v>
      </c>
      <c r="B34" s="208" t="s">
        <v>33</v>
      </c>
      <c r="C34" s="209" t="s">
        <v>142</v>
      </c>
      <c r="D34" s="207" t="s">
        <v>45</v>
      </c>
      <c r="E34" s="207" t="s">
        <v>52</v>
      </c>
      <c r="F34" s="207" t="s">
        <v>47</v>
      </c>
      <c r="G34" s="207" t="s">
        <v>44</v>
      </c>
      <c r="H34" s="207"/>
      <c r="I34" s="207"/>
      <c r="J34" s="207"/>
      <c r="K34" s="207"/>
      <c r="L34" s="207"/>
      <c r="M34" s="207" t="s">
        <v>35</v>
      </c>
      <c r="N34" s="207" t="s">
        <v>36</v>
      </c>
      <c r="O34" s="207" t="s">
        <v>37</v>
      </c>
      <c r="P34" s="208" t="s">
        <v>207</v>
      </c>
      <c r="Q34" s="210">
        <v>25661863246</v>
      </c>
      <c r="R34" s="210">
        <v>0</v>
      </c>
      <c r="S34" s="210">
        <v>0</v>
      </c>
      <c r="T34" s="210">
        <v>25661863246</v>
      </c>
      <c r="U34" s="210">
        <v>0</v>
      </c>
      <c r="V34" s="210">
        <v>18767562461.310001</v>
      </c>
      <c r="W34" s="210">
        <v>6894300784.6899996</v>
      </c>
      <c r="X34" s="210">
        <v>13844756151.280001</v>
      </c>
      <c r="Y34" s="210">
        <v>808468437</v>
      </c>
      <c r="Z34" s="210">
        <v>808468437</v>
      </c>
      <c r="AA34" s="210">
        <v>808468437</v>
      </c>
    </row>
    <row r="35" spans="1:27" ht="56.25" x14ac:dyDescent="0.25">
      <c r="A35" s="207" t="s">
        <v>32</v>
      </c>
      <c r="B35" s="208" t="s">
        <v>33</v>
      </c>
      <c r="C35" s="209" t="s">
        <v>208</v>
      </c>
      <c r="D35" s="207" t="s">
        <v>45</v>
      </c>
      <c r="E35" s="207" t="s">
        <v>52</v>
      </c>
      <c r="F35" s="207" t="s">
        <v>47</v>
      </c>
      <c r="G35" s="207" t="s">
        <v>50</v>
      </c>
      <c r="H35" s="207"/>
      <c r="I35" s="207"/>
      <c r="J35" s="207"/>
      <c r="K35" s="207"/>
      <c r="L35" s="207"/>
      <c r="M35" s="207" t="s">
        <v>35</v>
      </c>
      <c r="N35" s="207" t="s">
        <v>48</v>
      </c>
      <c r="O35" s="207" t="s">
        <v>37</v>
      </c>
      <c r="P35" s="208" t="s">
        <v>209</v>
      </c>
      <c r="Q35" s="210">
        <v>773529015</v>
      </c>
      <c r="R35" s="210">
        <v>0</v>
      </c>
      <c r="S35" s="210">
        <v>0</v>
      </c>
      <c r="T35" s="210">
        <v>773529015</v>
      </c>
      <c r="U35" s="210">
        <v>0</v>
      </c>
      <c r="V35" s="210">
        <v>686558986</v>
      </c>
      <c r="W35" s="210">
        <v>86970029</v>
      </c>
      <c r="X35" s="210">
        <v>1799900</v>
      </c>
      <c r="Y35" s="210">
        <v>0</v>
      </c>
      <c r="Z35" s="210">
        <v>0</v>
      </c>
      <c r="AA35" s="210">
        <v>0</v>
      </c>
    </row>
    <row r="36" spans="1:27" ht="56.25" x14ac:dyDescent="0.25">
      <c r="A36" s="207" t="s">
        <v>32</v>
      </c>
      <c r="B36" s="208" t="s">
        <v>33</v>
      </c>
      <c r="C36" s="209" t="s">
        <v>210</v>
      </c>
      <c r="D36" s="207" t="s">
        <v>45</v>
      </c>
      <c r="E36" s="207" t="s">
        <v>52</v>
      </c>
      <c r="F36" s="207" t="s">
        <v>47</v>
      </c>
      <c r="G36" s="207" t="s">
        <v>51</v>
      </c>
      <c r="H36" s="207"/>
      <c r="I36" s="207"/>
      <c r="J36" s="207"/>
      <c r="K36" s="207"/>
      <c r="L36" s="207"/>
      <c r="M36" s="207" t="s">
        <v>35</v>
      </c>
      <c r="N36" s="207" t="s">
        <v>48</v>
      </c>
      <c r="O36" s="207" t="s">
        <v>37</v>
      </c>
      <c r="P36" s="208" t="s">
        <v>211</v>
      </c>
      <c r="Q36" s="210">
        <v>3358394125</v>
      </c>
      <c r="R36" s="210">
        <v>0</v>
      </c>
      <c r="S36" s="210">
        <v>0</v>
      </c>
      <c r="T36" s="210">
        <v>3358394125</v>
      </c>
      <c r="U36" s="210">
        <v>0</v>
      </c>
      <c r="V36" s="210">
        <v>2795531138</v>
      </c>
      <c r="W36" s="210">
        <v>562862987</v>
      </c>
      <c r="X36" s="210">
        <v>2445037041</v>
      </c>
      <c r="Y36" s="210">
        <v>382817144</v>
      </c>
      <c r="Z36" s="210">
        <v>381417144</v>
      </c>
      <c r="AA36" s="210">
        <v>381417144</v>
      </c>
    </row>
    <row r="37" spans="1:27" x14ac:dyDescent="0.25">
      <c r="A37" s="207" t="s">
        <v>1</v>
      </c>
      <c r="B37" s="208" t="s">
        <v>1</v>
      </c>
      <c r="C37" s="209" t="s">
        <v>1</v>
      </c>
      <c r="D37" s="207" t="s">
        <v>1</v>
      </c>
      <c r="E37" s="207" t="s">
        <v>1</v>
      </c>
      <c r="F37" s="207" t="s">
        <v>1</v>
      </c>
      <c r="G37" s="207" t="s">
        <v>1</v>
      </c>
      <c r="H37" s="207" t="s">
        <v>1</v>
      </c>
      <c r="I37" s="207" t="s">
        <v>1</v>
      </c>
      <c r="J37" s="207" t="s">
        <v>1</v>
      </c>
      <c r="K37" s="207" t="s">
        <v>1</v>
      </c>
      <c r="L37" s="207" t="s">
        <v>1</v>
      </c>
      <c r="M37" s="207" t="s">
        <v>1</v>
      </c>
      <c r="N37" s="207" t="s">
        <v>1</v>
      </c>
      <c r="O37" s="207" t="s">
        <v>1</v>
      </c>
      <c r="P37" s="208" t="s">
        <v>1</v>
      </c>
      <c r="Q37" s="210">
        <v>240291898618</v>
      </c>
      <c r="R37" s="210">
        <v>3800621579</v>
      </c>
      <c r="S37" s="210">
        <v>0</v>
      </c>
      <c r="T37" s="210">
        <v>244092520197</v>
      </c>
      <c r="U37" s="210">
        <v>3316231000</v>
      </c>
      <c r="V37" s="210">
        <v>182187880801.78</v>
      </c>
      <c r="W37" s="210">
        <v>58588408395.220001</v>
      </c>
      <c r="X37" s="210">
        <v>112671378181.42999</v>
      </c>
      <c r="Y37" s="210">
        <v>29496767894.889999</v>
      </c>
      <c r="Z37" s="210">
        <v>29408221421.889999</v>
      </c>
      <c r="AA37" s="210">
        <v>29400105044.889999</v>
      </c>
    </row>
    <row r="38" spans="1:27" x14ac:dyDescent="0.25">
      <c r="A38" s="207" t="s">
        <v>1</v>
      </c>
      <c r="B38" s="211" t="s">
        <v>1</v>
      </c>
      <c r="C38" s="209" t="s">
        <v>1</v>
      </c>
      <c r="D38" s="207" t="s">
        <v>1</v>
      </c>
      <c r="E38" s="207" t="s">
        <v>1</v>
      </c>
      <c r="F38" s="207" t="s">
        <v>1</v>
      </c>
      <c r="G38" s="207" t="s">
        <v>1</v>
      </c>
      <c r="H38" s="207" t="s">
        <v>1</v>
      </c>
      <c r="I38" s="207" t="s">
        <v>1</v>
      </c>
      <c r="J38" s="207" t="s">
        <v>1</v>
      </c>
      <c r="K38" s="207" t="s">
        <v>1</v>
      </c>
      <c r="L38" s="207" t="s">
        <v>1</v>
      </c>
      <c r="M38" s="207" t="s">
        <v>1</v>
      </c>
      <c r="N38" s="207" t="s">
        <v>1</v>
      </c>
      <c r="O38" s="207" t="s">
        <v>1</v>
      </c>
      <c r="P38" s="208" t="s">
        <v>1</v>
      </c>
      <c r="Q38" s="212" t="s">
        <v>1</v>
      </c>
      <c r="R38" s="212" t="s">
        <v>1</v>
      </c>
      <c r="S38" s="212" t="s">
        <v>1</v>
      </c>
      <c r="T38" s="212" t="s">
        <v>1</v>
      </c>
      <c r="U38" s="212" t="s">
        <v>1</v>
      </c>
      <c r="V38" s="212" t="s">
        <v>1</v>
      </c>
      <c r="W38" s="212" t="s">
        <v>1</v>
      </c>
      <c r="X38" s="212" t="s">
        <v>1</v>
      </c>
      <c r="Y38" s="212" t="s">
        <v>1</v>
      </c>
      <c r="Z38" s="212" t="s">
        <v>1</v>
      </c>
      <c r="AA38" s="212" t="s">
        <v>1</v>
      </c>
    </row>
    <row r="39" spans="1:27" ht="33.950000000000003" customHeight="1" x14ac:dyDescent="0.25"/>
    <row r="41" spans="1:27" ht="33.950000000000003" customHeight="1" x14ac:dyDescent="0.25"/>
  </sheetData>
  <pageMargins left="0.78740157480314998" right="0.78740157480314998" top="0.78740157480314998" bottom="0.78740157480314998" header="0.78740157480314998" footer="0.78740157480314998"/>
  <pageSetup paperSize="5"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39"/>
  <sheetViews>
    <sheetView zoomScale="90" zoomScaleNormal="90" workbookViewId="0">
      <pane xSplit="1" ySplit="1" topLeftCell="D2" activePane="bottomRight" state="frozen"/>
      <selection pane="topRight" activeCell="B1" sqref="B1"/>
      <selection pane="bottomLeft" activeCell="A6" sqref="A6"/>
      <selection pane="bottomRight" activeCell="Q12" sqref="Q12"/>
    </sheetView>
  </sheetViews>
  <sheetFormatPr baseColWidth="10" defaultColWidth="11.42578125" defaultRowHeight="15" x14ac:dyDescent="0.25"/>
  <cols>
    <col min="1" max="1" width="30" style="113" customWidth="1"/>
    <col min="2" max="2" width="8" style="114" customWidth="1"/>
    <col min="3" max="3" width="17.85546875" style="114" bestFit="1" customWidth="1"/>
    <col min="4" max="4" width="20" style="114" bestFit="1" customWidth="1"/>
    <col min="5" max="5" width="16" style="114" bestFit="1" customWidth="1"/>
    <col min="6" max="6" width="16" style="114" customWidth="1"/>
    <col min="7" max="8" width="16" style="114" bestFit="1" customWidth="1"/>
    <col min="9" max="15" width="17.140625" style="114" bestFit="1" customWidth="1"/>
    <col min="16" max="16" width="14.85546875" style="114" bestFit="1" customWidth="1"/>
    <col min="17" max="17" width="16" style="114" bestFit="1" customWidth="1"/>
    <col min="18" max="21" width="7.85546875" style="114" customWidth="1"/>
    <col min="22" max="22" width="12" style="114" customWidth="1"/>
    <col min="23" max="25" width="10.28515625" style="114" customWidth="1"/>
    <col min="26" max="16384" width="11.42578125" style="114"/>
  </cols>
  <sheetData>
    <row r="1" spans="1:26" ht="12" customHeight="1" x14ac:dyDescent="0.25"/>
    <row r="2" spans="1:26" ht="18" customHeight="1" x14ac:dyDescent="0.35">
      <c r="A2" s="147" t="s">
        <v>132</v>
      </c>
      <c r="B2" s="265" t="s">
        <v>65</v>
      </c>
      <c r="C2" s="266"/>
      <c r="D2" s="266"/>
      <c r="E2" s="266"/>
      <c r="F2" s="266"/>
      <c r="G2" s="266"/>
      <c r="H2" s="266"/>
      <c r="I2" s="266"/>
      <c r="J2" s="266"/>
      <c r="K2" s="266"/>
      <c r="L2" s="266"/>
      <c r="M2" s="267"/>
      <c r="N2" s="265" t="s">
        <v>130</v>
      </c>
      <c r="O2" s="266"/>
      <c r="P2" s="266"/>
      <c r="Q2" s="266"/>
      <c r="R2" s="266"/>
      <c r="S2" s="266"/>
      <c r="T2" s="266"/>
      <c r="U2" s="266"/>
      <c r="V2" s="266"/>
      <c r="W2" s="266"/>
      <c r="X2" s="266"/>
      <c r="Y2" s="267"/>
      <c r="Z2" s="116"/>
    </row>
    <row r="3" spans="1:26" x14ac:dyDescent="0.25">
      <c r="A3" s="146"/>
      <c r="B3" s="268"/>
      <c r="C3" s="269"/>
      <c r="D3" s="269"/>
      <c r="E3" s="269"/>
      <c r="F3" s="269"/>
      <c r="G3" s="269"/>
      <c r="H3" s="269"/>
      <c r="I3" s="269"/>
      <c r="J3" s="269"/>
      <c r="K3" s="269"/>
      <c r="L3" s="269"/>
      <c r="M3" s="270"/>
      <c r="N3" s="268"/>
      <c r="O3" s="269"/>
      <c r="P3" s="269"/>
      <c r="Q3" s="269"/>
      <c r="R3" s="269"/>
      <c r="S3" s="269"/>
      <c r="T3" s="269"/>
      <c r="U3" s="269"/>
      <c r="V3" s="269"/>
      <c r="W3" s="269"/>
      <c r="X3" s="269"/>
      <c r="Y3" s="270"/>
      <c r="Z3" s="116"/>
    </row>
    <row r="4" spans="1:26" x14ac:dyDescent="0.25">
      <c r="A4" s="145" t="s">
        <v>123</v>
      </c>
      <c r="B4" s="150" t="s">
        <v>112</v>
      </c>
      <c r="C4" s="115" t="s">
        <v>113</v>
      </c>
      <c r="D4" s="115" t="s">
        <v>5</v>
      </c>
      <c r="E4" s="115" t="s">
        <v>114</v>
      </c>
      <c r="F4" s="115" t="s">
        <v>115</v>
      </c>
      <c r="G4" s="115" t="s">
        <v>116</v>
      </c>
      <c r="H4" s="115" t="s">
        <v>117</v>
      </c>
      <c r="I4" s="115" t="s">
        <v>118</v>
      </c>
      <c r="J4" s="115" t="s">
        <v>119</v>
      </c>
      <c r="K4" s="115" t="s">
        <v>120</v>
      </c>
      <c r="L4" s="115" t="s">
        <v>121</v>
      </c>
      <c r="M4" s="151" t="s">
        <v>122</v>
      </c>
      <c r="N4" s="150" t="s">
        <v>112</v>
      </c>
      <c r="O4" s="115" t="s">
        <v>113</v>
      </c>
      <c r="P4" s="115" t="s">
        <v>5</v>
      </c>
      <c r="Q4" s="115" t="s">
        <v>114</v>
      </c>
      <c r="R4" s="115" t="s">
        <v>115</v>
      </c>
      <c r="S4" s="115" t="s">
        <v>116</v>
      </c>
      <c r="T4" s="115" t="s">
        <v>117</v>
      </c>
      <c r="U4" s="115" t="s">
        <v>118</v>
      </c>
      <c r="V4" s="115" t="s">
        <v>119</v>
      </c>
      <c r="W4" s="115" t="s">
        <v>120</v>
      </c>
      <c r="X4" s="115" t="s">
        <v>121</v>
      </c>
      <c r="Y4" s="151" t="s">
        <v>122</v>
      </c>
      <c r="Z4" s="116"/>
    </row>
    <row r="5" spans="1:26" s="119" customFormat="1" x14ac:dyDescent="0.25">
      <c r="A5" s="148" t="s">
        <v>213</v>
      </c>
      <c r="B5" s="154"/>
      <c r="C5" s="117"/>
      <c r="D5" s="117"/>
      <c r="E5" s="117">
        <f>+'[2]METAS FUNCIONAMIENTO 201'!$F$5</f>
        <v>0.28839999999999999</v>
      </c>
      <c r="F5" s="117"/>
      <c r="G5" s="117"/>
      <c r="H5" s="117"/>
      <c r="I5" s="117"/>
      <c r="J5" s="118"/>
      <c r="K5" s="118"/>
      <c r="L5" s="118"/>
      <c r="M5" s="155"/>
      <c r="N5" s="154"/>
      <c r="O5" s="117"/>
      <c r="P5" s="117"/>
      <c r="Q5" s="117">
        <f>+'[2]METAS FUNCIONAMIENTO 201'!$R$5</f>
        <v>0.25840000000000002</v>
      </c>
      <c r="R5" s="117"/>
      <c r="S5" s="117"/>
      <c r="T5" s="117"/>
      <c r="U5" s="117"/>
      <c r="V5" s="118"/>
      <c r="W5" s="118"/>
      <c r="X5" s="118"/>
      <c r="Y5" s="155"/>
      <c r="Z5" s="162"/>
    </row>
    <row r="6" spans="1:26" x14ac:dyDescent="0.25">
      <c r="A6" s="146"/>
      <c r="B6" s="152"/>
      <c r="M6" s="153"/>
      <c r="N6" s="152"/>
      <c r="Y6" s="153"/>
      <c r="Z6" s="116"/>
    </row>
    <row r="7" spans="1:26" x14ac:dyDescent="0.25">
      <c r="A7" s="145" t="s">
        <v>124</v>
      </c>
      <c r="B7" s="150" t="s">
        <v>112</v>
      </c>
      <c r="C7" s="115" t="s">
        <v>113</v>
      </c>
      <c r="D7" s="115" t="s">
        <v>5</v>
      </c>
      <c r="E7" s="115" t="s">
        <v>114</v>
      </c>
      <c r="F7" s="115" t="s">
        <v>115</v>
      </c>
      <c r="G7" s="115" t="s">
        <v>116</v>
      </c>
      <c r="H7" s="115" t="s">
        <v>117</v>
      </c>
      <c r="I7" s="115" t="s">
        <v>118</v>
      </c>
      <c r="J7" s="115" t="s">
        <v>119</v>
      </c>
      <c r="K7" s="115" t="s">
        <v>120</v>
      </c>
      <c r="L7" s="115" t="s">
        <v>121</v>
      </c>
      <c r="M7" s="151" t="s">
        <v>122</v>
      </c>
      <c r="N7" s="150" t="s">
        <v>112</v>
      </c>
      <c r="O7" s="115" t="s">
        <v>113</v>
      </c>
      <c r="P7" s="115" t="s">
        <v>5</v>
      </c>
      <c r="Q7" s="115" t="s">
        <v>114</v>
      </c>
      <c r="R7" s="115" t="s">
        <v>115</v>
      </c>
      <c r="S7" s="115" t="s">
        <v>116</v>
      </c>
      <c r="T7" s="115" t="s">
        <v>117</v>
      </c>
      <c r="U7" s="115" t="s">
        <v>118</v>
      </c>
      <c r="V7" s="115" t="s">
        <v>119</v>
      </c>
      <c r="W7" s="115" t="s">
        <v>120</v>
      </c>
      <c r="X7" s="115" t="s">
        <v>121</v>
      </c>
      <c r="Y7" s="151" t="s">
        <v>122</v>
      </c>
      <c r="Z7" s="116"/>
    </row>
    <row r="8" spans="1:26" s="119" customFormat="1" x14ac:dyDescent="0.25">
      <c r="A8" s="148" t="s">
        <v>213</v>
      </c>
      <c r="B8" s="156">
        <v>0.75359053564052891</v>
      </c>
      <c r="C8" s="120">
        <v>0.84109565184252322</v>
      </c>
      <c r="D8" s="120">
        <v>0.82129276953016528</v>
      </c>
      <c r="E8" s="120">
        <f>+[2]Compromisos!$M$21</f>
        <v>0.63372730781296971</v>
      </c>
      <c r="F8" s="120"/>
      <c r="G8" s="120"/>
      <c r="H8" s="120"/>
      <c r="I8" s="120"/>
      <c r="J8" s="120"/>
      <c r="K8" s="120"/>
      <c r="L8" s="120"/>
      <c r="M8" s="157"/>
      <c r="N8" s="163">
        <v>8.4799699902167375E-2</v>
      </c>
      <c r="O8" s="121">
        <v>0.16613928415876791</v>
      </c>
      <c r="P8" s="121">
        <v>0.35811983977971457</v>
      </c>
      <c r="Q8" s="121">
        <f>+[2]Obligaciones!$M$21</f>
        <v>0.13952399026494403</v>
      </c>
      <c r="R8" s="121"/>
      <c r="S8" s="121"/>
      <c r="T8" s="121"/>
      <c r="U8" s="121"/>
      <c r="V8" s="121"/>
      <c r="W8" s="121"/>
      <c r="X8" s="121"/>
      <c r="Y8" s="157"/>
      <c r="Z8" s="162"/>
    </row>
    <row r="9" spans="1:26" x14ac:dyDescent="0.25">
      <c r="A9" s="146"/>
      <c r="B9" s="152"/>
      <c r="M9" s="153"/>
      <c r="N9" s="152"/>
      <c r="Y9" s="153"/>
      <c r="Z9" s="116"/>
    </row>
    <row r="10" spans="1:26" x14ac:dyDescent="0.25">
      <c r="A10" s="145" t="s">
        <v>60</v>
      </c>
      <c r="B10" s="150" t="s">
        <v>112</v>
      </c>
      <c r="C10" s="115" t="s">
        <v>113</v>
      </c>
      <c r="D10" s="115" t="s">
        <v>5</v>
      </c>
      <c r="E10" s="115"/>
      <c r="F10" s="115"/>
      <c r="G10" s="115"/>
      <c r="H10" s="115"/>
      <c r="I10" s="115"/>
      <c r="J10" s="115"/>
      <c r="K10" s="115"/>
      <c r="L10" s="115"/>
      <c r="M10" s="151"/>
      <c r="N10" s="150"/>
      <c r="O10" s="115"/>
      <c r="P10" s="115"/>
      <c r="Q10" s="115"/>
      <c r="R10" s="115"/>
      <c r="S10" s="115"/>
      <c r="T10" s="115"/>
      <c r="U10" s="115"/>
      <c r="V10" s="115"/>
      <c r="W10" s="115"/>
      <c r="X10" s="115"/>
      <c r="Y10" s="151"/>
      <c r="Z10" s="116"/>
    </row>
    <row r="11" spans="1:26" s="119" customFormat="1" ht="15.75" thickBot="1" x14ac:dyDescent="0.3">
      <c r="A11" s="148" t="s">
        <v>213</v>
      </c>
      <c r="B11" s="158">
        <v>0.75359053564052891</v>
      </c>
      <c r="C11" s="159">
        <v>0.84109565184252322</v>
      </c>
      <c r="D11" s="160">
        <v>0.82129276953016528</v>
      </c>
      <c r="E11" s="160">
        <f>+METAS!G17/METAS!D17</f>
        <v>0.52230854380558822</v>
      </c>
      <c r="F11" s="160"/>
      <c r="G11" s="160"/>
      <c r="H11" s="160"/>
      <c r="I11" s="160"/>
      <c r="J11" s="160"/>
      <c r="K11" s="160"/>
      <c r="L11" s="160"/>
      <c r="M11" s="161"/>
      <c r="N11" s="164">
        <v>8.4799699902167375E-2</v>
      </c>
      <c r="O11" s="160">
        <v>0.16613928415876791</v>
      </c>
      <c r="P11" s="160">
        <v>0.35811983977971457</v>
      </c>
      <c r="Q11" s="160">
        <f>+METAS!G28/METAS!D28</f>
        <v>0.17787895894290021</v>
      </c>
      <c r="R11" s="160"/>
      <c r="S11" s="160"/>
      <c r="T11" s="160"/>
      <c r="U11" s="160"/>
      <c r="V11" s="160"/>
      <c r="W11" s="160"/>
      <c r="X11" s="160"/>
      <c r="Y11" s="161"/>
      <c r="Z11" s="162"/>
    </row>
    <row r="12" spans="1:26" x14ac:dyDescent="0.25">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row>
    <row r="13" spans="1:26" x14ac:dyDescent="0.25">
      <c r="B13" s="184"/>
      <c r="C13" s="184"/>
      <c r="D13" s="184"/>
      <c r="E13" s="184"/>
      <c r="F13" s="184"/>
      <c r="G13" s="184"/>
      <c r="H13" s="184"/>
      <c r="I13" s="184"/>
      <c r="J13" s="184"/>
      <c r="K13" s="184"/>
      <c r="L13" s="184"/>
      <c r="M13" s="184"/>
      <c r="N13" s="184"/>
      <c r="O13" s="184"/>
      <c r="P13" s="184"/>
      <c r="Q13" s="184"/>
      <c r="R13" s="184"/>
      <c r="S13" s="184"/>
      <c r="T13" s="184"/>
      <c r="U13" s="184"/>
      <c r="V13" s="184"/>
      <c r="W13" s="184"/>
      <c r="X13" s="184"/>
      <c r="Y13" s="184"/>
    </row>
    <row r="18" spans="1:27" x14ac:dyDescent="0.25">
      <c r="A18" s="187"/>
      <c r="B18" s="187"/>
      <c r="C18" s="187"/>
      <c r="D18" s="188" t="s">
        <v>110</v>
      </c>
      <c r="E18" s="187"/>
      <c r="F18" s="187"/>
      <c r="G18" s="187"/>
      <c r="H18" s="187"/>
      <c r="I18" s="187"/>
      <c r="J18" s="187"/>
      <c r="K18" s="187"/>
      <c r="L18" s="187"/>
      <c r="M18" s="187"/>
      <c r="N18" s="187"/>
      <c r="O18" s="187"/>
      <c r="P18" s="188" t="s">
        <v>111</v>
      </c>
      <c r="Q18" s="187"/>
      <c r="R18" s="187"/>
      <c r="S18" s="187"/>
      <c r="T18" s="187"/>
      <c r="U18" s="187"/>
      <c r="V18" s="187"/>
      <c r="W18" s="187"/>
      <c r="X18" s="187"/>
      <c r="Y18" s="187"/>
      <c r="Z18" s="187"/>
      <c r="AA18" s="187"/>
    </row>
    <row r="19" spans="1:27" x14ac:dyDescent="0.25">
      <c r="A19" s="187"/>
      <c r="B19" s="187"/>
      <c r="C19" s="189" t="s">
        <v>68</v>
      </c>
      <c r="D19" s="189" t="s">
        <v>112</v>
      </c>
      <c r="E19" s="189" t="s">
        <v>113</v>
      </c>
      <c r="F19" s="189" t="s">
        <v>5</v>
      </c>
      <c r="G19" s="189" t="s">
        <v>114</v>
      </c>
      <c r="H19" s="189" t="s">
        <v>115</v>
      </c>
      <c r="I19" s="189" t="s">
        <v>116</v>
      </c>
      <c r="J19" s="189" t="s">
        <v>117</v>
      </c>
      <c r="K19" s="189" t="s">
        <v>118</v>
      </c>
      <c r="L19" s="189" t="s">
        <v>119</v>
      </c>
      <c r="M19" s="189" t="s">
        <v>120</v>
      </c>
      <c r="N19" s="189" t="s">
        <v>121</v>
      </c>
      <c r="O19" s="189" t="s">
        <v>122</v>
      </c>
      <c r="P19" s="189" t="s">
        <v>112</v>
      </c>
      <c r="Q19" s="189" t="s">
        <v>113</v>
      </c>
      <c r="R19" s="189" t="s">
        <v>5</v>
      </c>
      <c r="S19" s="189" t="s">
        <v>114</v>
      </c>
      <c r="T19" s="189" t="s">
        <v>115</v>
      </c>
      <c r="U19" s="189" t="s">
        <v>116</v>
      </c>
      <c r="V19" s="189" t="s">
        <v>117</v>
      </c>
      <c r="W19" s="189" t="s">
        <v>118</v>
      </c>
      <c r="X19" s="189" t="s">
        <v>119</v>
      </c>
      <c r="Y19" s="189" t="s">
        <v>120</v>
      </c>
      <c r="Z19" s="189" t="s">
        <v>121</v>
      </c>
      <c r="AA19" s="189" t="s">
        <v>122</v>
      </c>
    </row>
    <row r="20" spans="1:27" x14ac:dyDescent="0.25">
      <c r="A20" s="187"/>
      <c r="B20" s="187"/>
      <c r="C20" s="190" t="s">
        <v>123</v>
      </c>
      <c r="D20" s="191">
        <v>7.4490726855693482E-2</v>
      </c>
      <c r="E20" s="191">
        <v>0.2212821482804524</v>
      </c>
      <c r="F20" s="191">
        <v>0.2919211202428369</v>
      </c>
      <c r="G20" s="191">
        <v>0.35469715229454429</v>
      </c>
      <c r="H20" s="191">
        <v>0.41987592470380347</v>
      </c>
      <c r="I20" s="191">
        <v>0.51463604612050351</v>
      </c>
      <c r="J20" s="191">
        <v>0.57787686478453348</v>
      </c>
      <c r="K20" s="191">
        <v>0.63348336759798585</v>
      </c>
      <c r="L20" s="191">
        <v>0.70007901752356683</v>
      </c>
      <c r="M20" s="191">
        <v>0.76513205164749454</v>
      </c>
      <c r="N20" s="191">
        <v>0.83180869468246554</v>
      </c>
      <c r="O20" s="191">
        <v>0.99221436982694255</v>
      </c>
      <c r="P20" s="191">
        <v>3.6408750297486581E-2</v>
      </c>
      <c r="Q20" s="191">
        <v>9.7251781303303364E-2</v>
      </c>
      <c r="R20" s="191">
        <v>0.16765430192136793</v>
      </c>
      <c r="S20" s="191">
        <v>0.23537853838490821</v>
      </c>
      <c r="T20" s="191">
        <v>0.30500299717225071</v>
      </c>
      <c r="U20" s="191">
        <v>0.41510311735407557</v>
      </c>
      <c r="V20" s="191">
        <v>0.4924284194335522</v>
      </c>
      <c r="W20" s="191">
        <v>0.56105745587854794</v>
      </c>
      <c r="X20" s="191">
        <v>0.63253385899947279</v>
      </c>
      <c r="Y20" s="191">
        <v>0.71204690627426281</v>
      </c>
      <c r="Z20" s="191">
        <v>0.79019387217157988</v>
      </c>
      <c r="AA20" s="191">
        <v>0.98350570024181638</v>
      </c>
    </row>
    <row r="21" spans="1:27" x14ac:dyDescent="0.25">
      <c r="A21" s="187"/>
      <c r="B21" s="187"/>
      <c r="C21" s="190" t="s">
        <v>124</v>
      </c>
      <c r="D21" s="191">
        <v>0.45449611751461988</v>
      </c>
      <c r="E21" s="191">
        <v>0.54320900518585979</v>
      </c>
      <c r="F21" s="191">
        <v>0.54919608445349311</v>
      </c>
      <c r="G21" s="191">
        <v>0.57761182312903625</v>
      </c>
      <c r="H21" s="191">
        <v>0.58760525400870267</v>
      </c>
      <c r="I21" s="191">
        <v>0.65020476593316978</v>
      </c>
      <c r="J21" s="191">
        <v>0.74366475113410146</v>
      </c>
      <c r="K21" s="191">
        <v>0.77336431341459599</v>
      </c>
      <c r="L21" s="191">
        <v>0.80193236993384698</v>
      </c>
      <c r="M21" s="191">
        <v>0.83946634611411541</v>
      </c>
      <c r="N21" s="191">
        <v>0.86328218332382056</v>
      </c>
      <c r="O21" s="191">
        <v>0.97769591954989321</v>
      </c>
      <c r="P21" s="191">
        <v>2.4346780116959064E-3</v>
      </c>
      <c r="Q21" s="191">
        <v>3.7141740104873297E-2</v>
      </c>
      <c r="R21" s="191">
        <v>8.4500000000000006E-2</v>
      </c>
      <c r="S21" s="191">
        <v>0.15387846160383831</v>
      </c>
      <c r="T21" s="191">
        <v>0.22166424771449036</v>
      </c>
      <c r="U21" s="191">
        <v>0.27512684140231114</v>
      </c>
      <c r="V21" s="191">
        <v>0.36553773152620389</v>
      </c>
      <c r="W21" s="191">
        <v>0.42626116886411219</v>
      </c>
      <c r="X21" s="191">
        <v>0.49802236038543785</v>
      </c>
      <c r="Y21" s="191">
        <v>0.57354553955025411</v>
      </c>
      <c r="Z21" s="191">
        <v>0.64361296164892168</v>
      </c>
      <c r="AA21" s="191">
        <v>0.95609050099628656</v>
      </c>
    </row>
    <row r="22" spans="1:27" x14ac:dyDescent="0.25">
      <c r="A22" s="192"/>
      <c r="B22" s="192"/>
      <c r="C22" s="193" t="s">
        <v>60</v>
      </c>
      <c r="D22" s="194">
        <v>0.30305395303368321</v>
      </c>
      <c r="E22" s="194">
        <v>0.41491266725822712</v>
      </c>
      <c r="F22" s="194">
        <v>0.44666522987993817</v>
      </c>
      <c r="G22" s="194">
        <v>0.4887744511454607</v>
      </c>
      <c r="H22" s="194">
        <v>0.52076069521751256</v>
      </c>
      <c r="I22" s="194">
        <v>0.59617705772424268</v>
      </c>
      <c r="J22" s="194">
        <v>0.67759390853378387</v>
      </c>
      <c r="K22" s="194">
        <v>0.71761806948006801</v>
      </c>
      <c r="L22" s="194">
        <v>0.76134112431518397</v>
      </c>
      <c r="M22" s="194">
        <v>0.80984217044211193</v>
      </c>
      <c r="N22" s="194">
        <v>0.85073916851198306</v>
      </c>
      <c r="O22" s="194">
        <v>0.98348190466724306</v>
      </c>
      <c r="P22" s="194">
        <v>1.5974241317022627E-2</v>
      </c>
      <c r="Q22" s="194">
        <v>6.1097175922095945E-2</v>
      </c>
      <c r="R22" s="194">
        <v>0.11763918112329141</v>
      </c>
      <c r="S22" s="194">
        <v>0.18635839040612681</v>
      </c>
      <c r="T22" s="194">
        <v>0.25487693604276118</v>
      </c>
      <c r="U22" s="194">
        <v>0.33091107690844013</v>
      </c>
      <c r="V22" s="194">
        <v>0.41610701528252747</v>
      </c>
      <c r="W22" s="194">
        <v>0.47998104224291427</v>
      </c>
      <c r="X22" s="194">
        <v>0.55162873808013657</v>
      </c>
      <c r="Y22" s="194">
        <v>0.62874198485299437</v>
      </c>
      <c r="Z22" s="194">
        <v>0.70202931811861746</v>
      </c>
      <c r="AA22" s="194">
        <v>0.96701618051420069</v>
      </c>
    </row>
    <row r="23" spans="1:27" x14ac:dyDescent="0.25">
      <c r="A23" s="187"/>
      <c r="B23" s="187"/>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row>
    <row r="24" spans="1:27" x14ac:dyDescent="0.25">
      <c r="A24" s="187"/>
      <c r="B24" s="187"/>
      <c r="C24" s="187"/>
      <c r="D24" s="188" t="s">
        <v>110</v>
      </c>
      <c r="E24" s="187"/>
      <c r="F24" s="187"/>
      <c r="G24" s="187"/>
      <c r="H24" s="187"/>
      <c r="I24" s="187"/>
      <c r="J24" s="187"/>
      <c r="K24" s="187"/>
      <c r="L24" s="187"/>
      <c r="M24" s="187"/>
      <c r="N24" s="187"/>
      <c r="O24" s="187"/>
      <c r="P24" s="188" t="s">
        <v>111</v>
      </c>
      <c r="Q24" s="187"/>
      <c r="R24" s="187"/>
      <c r="S24" s="187"/>
      <c r="T24" s="187"/>
      <c r="U24" s="187"/>
      <c r="V24" s="187"/>
      <c r="W24" s="187"/>
      <c r="X24" s="187"/>
      <c r="Y24" s="187"/>
      <c r="Z24" s="187"/>
      <c r="AA24" s="187"/>
    </row>
    <row r="25" spans="1:27" x14ac:dyDescent="0.25">
      <c r="A25" s="187"/>
      <c r="B25" s="187"/>
      <c r="C25" s="189" t="s">
        <v>68</v>
      </c>
      <c r="D25" s="189" t="s">
        <v>112</v>
      </c>
      <c r="E25" s="189" t="s">
        <v>113</v>
      </c>
      <c r="F25" s="189" t="s">
        <v>5</v>
      </c>
      <c r="G25" s="189" t="s">
        <v>114</v>
      </c>
      <c r="H25" s="189" t="s">
        <v>115</v>
      </c>
      <c r="I25" s="189" t="s">
        <v>116</v>
      </c>
      <c r="J25" s="189" t="s">
        <v>117</v>
      </c>
      <c r="K25" s="189" t="s">
        <v>118</v>
      </c>
      <c r="L25" s="189" t="s">
        <v>119</v>
      </c>
      <c r="M25" s="189" t="s">
        <v>120</v>
      </c>
      <c r="N25" s="189" t="s">
        <v>121</v>
      </c>
      <c r="O25" s="189" t="s">
        <v>122</v>
      </c>
      <c r="P25" s="189" t="s">
        <v>112</v>
      </c>
      <c r="Q25" s="189" t="s">
        <v>113</v>
      </c>
      <c r="R25" s="189" t="s">
        <v>5</v>
      </c>
      <c r="S25" s="189" t="s">
        <v>114</v>
      </c>
      <c r="T25" s="189" t="s">
        <v>115</v>
      </c>
      <c r="U25" s="189" t="s">
        <v>116</v>
      </c>
      <c r="V25" s="189" t="s">
        <v>117</v>
      </c>
      <c r="W25" s="189" t="s">
        <v>118</v>
      </c>
      <c r="X25" s="189" t="s">
        <v>119</v>
      </c>
      <c r="Y25" s="189" t="s">
        <v>120</v>
      </c>
      <c r="Z25" s="189" t="s">
        <v>121</v>
      </c>
      <c r="AA25" s="189" t="s">
        <v>122</v>
      </c>
    </row>
    <row r="26" spans="1:27" x14ac:dyDescent="0.25">
      <c r="A26" s="195">
        <v>75459500000</v>
      </c>
      <c r="B26" s="187"/>
      <c r="C26" s="190" t="s">
        <v>123</v>
      </c>
      <c r="D26" s="196">
        <v>5621033003.1672001</v>
      </c>
      <c r="E26" s="196">
        <v>16697840268.168798</v>
      </c>
      <c r="F26" s="196">
        <v>22028221772.964352</v>
      </c>
      <c r="G26" s="196">
        <v>26765269763.570164</v>
      </c>
      <c r="H26" s="196">
        <v>31683627340.186657</v>
      </c>
      <c r="I26" s="196">
        <v>38834178722.230133</v>
      </c>
      <c r="J26" s="196">
        <v>43606299278.208504</v>
      </c>
      <c r="K26" s="196">
        <v>47802338177.260216</v>
      </c>
      <c r="L26" s="196">
        <v>52827612622.819588</v>
      </c>
      <c r="M26" s="196">
        <v>57736482051.294113</v>
      </c>
      <c r="N26" s="196">
        <v>62767868196.39151</v>
      </c>
      <c r="O26" s="196">
        <v>74872000239.956177</v>
      </c>
      <c r="P26" s="196">
        <v>2747386093.0731888</v>
      </c>
      <c r="Q26" s="196">
        <v>7338570791.2566204</v>
      </c>
      <c r="R26" s="196">
        <v>12651109795.835463</v>
      </c>
      <c r="S26" s="196">
        <v>17761546817.255981</v>
      </c>
      <c r="T26" s="196">
        <v>23015373665.119453</v>
      </c>
      <c r="U26" s="196">
        <v>31323473683.979866</v>
      </c>
      <c r="V26" s="196">
        <v>37158402316.246132</v>
      </c>
      <c r="W26" s="196">
        <v>42337115091.867287</v>
      </c>
      <c r="X26" s="196">
        <v>47730688733.170715</v>
      </c>
      <c r="Y26" s="196">
        <v>53730703524.002731</v>
      </c>
      <c r="Z26" s="196">
        <v>59627634497.131332</v>
      </c>
      <c r="AA26" s="196">
        <v>74214848387.397339</v>
      </c>
    </row>
    <row r="27" spans="1:27" x14ac:dyDescent="0.25">
      <c r="A27" s="195">
        <v>113886821579</v>
      </c>
      <c r="B27" s="187"/>
      <c r="C27" s="190" t="s">
        <v>124</v>
      </c>
      <c r="D27" s="196">
        <v>51761118243.735703</v>
      </c>
      <c r="E27" s="196">
        <v>61864347053.708099</v>
      </c>
      <c r="F27" s="196">
        <v>62546196482.040382</v>
      </c>
      <c r="G27" s="196">
        <v>65782374642.617455</v>
      </c>
      <c r="H27" s="196">
        <v>66920494722.172096</v>
      </c>
      <c r="I27" s="196">
        <v>74049754167.646362</v>
      </c>
      <c r="J27" s="196">
        <v>84693614827.000854</v>
      </c>
      <c r="K27" s="196">
        <v>88076003577.413925</v>
      </c>
      <c r="L27" s="196">
        <v>91329528733.080658</v>
      </c>
      <c r="M27" s="196">
        <v>95604153981.473328</v>
      </c>
      <c r="N27" s="196">
        <v>98316463984.529526</v>
      </c>
      <c r="O27" s="196">
        <v>111346680748.29503</v>
      </c>
      <c r="P27" s="196">
        <v>277277740.32032615</v>
      </c>
      <c r="Q27" s="196">
        <v>4229954728.457294</v>
      </c>
      <c r="R27" s="196">
        <v>9623436423.4255009</v>
      </c>
      <c r="S27" s="196">
        <v>17524728901.527336</v>
      </c>
      <c r="T27" s="196">
        <v>25244636629.903423</v>
      </c>
      <c r="U27" s="196">
        <v>31333321498.378838</v>
      </c>
      <c r="V27" s="196">
        <v>41629930410.717186</v>
      </c>
      <c r="W27" s="196">
        <v>48545529684.483139</v>
      </c>
      <c r="X27" s="196">
        <v>56718183699.568794</v>
      </c>
      <c r="Y27" s="196">
        <v>65319278530.191078</v>
      </c>
      <c r="Z27" s="196">
        <v>73299034529.242508</v>
      </c>
      <c r="AA27" s="196">
        <v>108886108300.34081</v>
      </c>
    </row>
    <row r="28" spans="1:27" x14ac:dyDescent="0.25">
      <c r="A28" s="197">
        <v>189346321579</v>
      </c>
      <c r="B28" s="192"/>
      <c r="C28" s="193" t="s">
        <v>60</v>
      </c>
      <c r="D28" s="198">
        <v>57382151246.902939</v>
      </c>
      <c r="E28" s="198">
        <v>78562187321.876892</v>
      </c>
      <c r="F28" s="198">
        <v>84574418255.00473</v>
      </c>
      <c r="G28" s="198">
        <v>92547644406.187622</v>
      </c>
      <c r="H28" s="198">
        <v>98604122062.358749</v>
      </c>
      <c r="I28" s="198">
        <v>112883932889.8765</v>
      </c>
      <c r="J28" s="198">
        <v>128299914105.20935</v>
      </c>
      <c r="K28" s="198">
        <v>135878341754.67413</v>
      </c>
      <c r="L28" s="198">
        <v>144157141355.90024</v>
      </c>
      <c r="M28" s="198">
        <v>153340636032.76746</v>
      </c>
      <c r="N28" s="198">
        <v>161084332180.92102</v>
      </c>
      <c r="O28" s="198">
        <v>186218680988.25122</v>
      </c>
      <c r="P28" s="198">
        <v>3024663833.3935151</v>
      </c>
      <c r="Q28" s="198">
        <v>11568525519.713915</v>
      </c>
      <c r="R28" s="198">
        <v>22274546219.260963</v>
      </c>
      <c r="S28" s="198">
        <v>35286275718.783318</v>
      </c>
      <c r="T28" s="198">
        <v>48260010295.022873</v>
      </c>
      <c r="U28" s="198">
        <v>62656795182.358704</v>
      </c>
      <c r="V28" s="198">
        <v>78788332726.963318</v>
      </c>
      <c r="W28" s="198">
        <v>90882644776.350433</v>
      </c>
      <c r="X28" s="198">
        <v>104448872432.7395</v>
      </c>
      <c r="Y28" s="198">
        <v>119049982054.19382</v>
      </c>
      <c r="Z28" s="198">
        <v>132926669026.37384</v>
      </c>
      <c r="AA28" s="198">
        <v>183100956687.73816</v>
      </c>
    </row>
    <row r="29" spans="1:27" x14ac:dyDescent="0.25">
      <c r="A29" s="187"/>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row>
    <row r="30" spans="1:27" x14ac:dyDescent="0.25">
      <c r="A30" s="187"/>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row>
    <row r="31" spans="1:27" x14ac:dyDescent="0.25">
      <c r="A31" s="187"/>
      <c r="B31" s="187"/>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row>
    <row r="32" spans="1:27" x14ac:dyDescent="0.25">
      <c r="A32" s="187"/>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row>
    <row r="33" spans="1:27" x14ac:dyDescent="0.25">
      <c r="A33" s="187"/>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row>
    <row r="34" spans="1:27" x14ac:dyDescent="0.25">
      <c r="A34" s="187"/>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row>
    <row r="35" spans="1:27" x14ac:dyDescent="0.25">
      <c r="A35" s="187"/>
      <c r="B35" s="187"/>
      <c r="C35" s="190" t="s">
        <v>133</v>
      </c>
      <c r="D35" s="195">
        <v>75459500000</v>
      </c>
      <c r="E35" s="187"/>
      <c r="F35" s="187"/>
      <c r="G35" s="187"/>
      <c r="H35" s="187"/>
      <c r="I35" s="187"/>
      <c r="J35" s="187"/>
      <c r="K35" s="187"/>
      <c r="L35" s="187"/>
      <c r="M35" s="187"/>
      <c r="N35" s="187"/>
      <c r="O35" s="187"/>
      <c r="P35" s="187"/>
      <c r="Q35" s="187"/>
      <c r="R35" s="187"/>
      <c r="S35" s="187"/>
      <c r="T35" s="187"/>
      <c r="U35" s="187"/>
      <c r="V35" s="187"/>
      <c r="W35" s="187"/>
      <c r="X35" s="187"/>
      <c r="Y35" s="187"/>
      <c r="Z35" s="187"/>
      <c r="AA35" s="187"/>
    </row>
    <row r="36" spans="1:27" x14ac:dyDescent="0.25">
      <c r="A36" s="187"/>
      <c r="B36" s="187"/>
      <c r="C36" s="190" t="s">
        <v>134</v>
      </c>
      <c r="D36" s="195">
        <v>110086200000</v>
      </c>
      <c r="E36" s="187"/>
      <c r="F36" s="187"/>
      <c r="G36" s="187"/>
      <c r="H36" s="187"/>
      <c r="I36" s="187"/>
      <c r="J36" s="187"/>
      <c r="K36" s="187"/>
      <c r="L36" s="187"/>
      <c r="M36" s="187"/>
      <c r="N36" s="187"/>
      <c r="O36" s="187"/>
      <c r="P36" s="187"/>
      <c r="Q36" s="187"/>
      <c r="R36" s="187"/>
      <c r="S36" s="187"/>
      <c r="T36" s="187"/>
      <c r="U36" s="187"/>
      <c r="V36" s="187"/>
      <c r="W36" s="187"/>
      <c r="X36" s="187"/>
      <c r="Y36" s="187"/>
      <c r="Z36" s="187"/>
      <c r="AA36" s="187"/>
    </row>
    <row r="37" spans="1:27" x14ac:dyDescent="0.25">
      <c r="A37" s="187"/>
      <c r="B37" s="187"/>
      <c r="C37" s="199" t="s">
        <v>135</v>
      </c>
      <c r="D37" s="200">
        <v>185545700000</v>
      </c>
      <c r="E37" s="187"/>
      <c r="F37" s="187"/>
      <c r="G37" s="187"/>
      <c r="H37" s="187"/>
      <c r="I37" s="187"/>
      <c r="J37" s="187"/>
      <c r="K37" s="187"/>
      <c r="L37" s="187"/>
      <c r="M37" s="187"/>
      <c r="N37" s="187"/>
      <c r="O37" s="187"/>
      <c r="P37" s="187"/>
      <c r="Q37" s="187"/>
      <c r="R37" s="187"/>
      <c r="S37" s="187"/>
      <c r="T37" s="187"/>
      <c r="U37" s="187"/>
      <c r="V37" s="187"/>
      <c r="W37" s="187"/>
      <c r="X37" s="187"/>
      <c r="Y37" s="187"/>
      <c r="Z37" s="187"/>
      <c r="AA37" s="187"/>
    </row>
    <row r="38" spans="1:27" x14ac:dyDescent="0.25">
      <c r="A38" s="187"/>
      <c r="B38" s="187"/>
      <c r="C38" s="190" t="s">
        <v>136</v>
      </c>
      <c r="D38" s="195">
        <v>3800621579</v>
      </c>
      <c r="E38" s="187"/>
      <c r="F38" s="187"/>
      <c r="G38" s="187"/>
      <c r="H38" s="187"/>
      <c r="I38" s="187"/>
      <c r="J38" s="187"/>
      <c r="K38" s="187"/>
      <c r="L38" s="187"/>
      <c r="M38" s="187"/>
      <c r="N38" s="187"/>
      <c r="O38" s="187"/>
      <c r="P38" s="187"/>
      <c r="Q38" s="187"/>
      <c r="R38" s="187"/>
      <c r="S38" s="187"/>
      <c r="T38" s="187"/>
      <c r="U38" s="187"/>
      <c r="V38" s="187"/>
      <c r="W38" s="187"/>
      <c r="X38" s="187"/>
      <c r="Y38" s="187"/>
      <c r="Z38" s="187"/>
      <c r="AA38" s="187"/>
    </row>
    <row r="39" spans="1:27" x14ac:dyDescent="0.25">
      <c r="A39" s="187"/>
      <c r="B39" s="187"/>
      <c r="C39" s="199" t="s">
        <v>60</v>
      </c>
      <c r="D39" s="200">
        <v>189346321579</v>
      </c>
      <c r="E39" s="187"/>
      <c r="F39" s="187"/>
      <c r="G39" s="187"/>
      <c r="H39" s="187"/>
      <c r="I39" s="187"/>
      <c r="J39" s="187"/>
      <c r="K39" s="187"/>
      <c r="L39" s="187"/>
      <c r="M39" s="187"/>
      <c r="N39" s="187"/>
      <c r="O39" s="187"/>
      <c r="P39" s="187"/>
      <c r="Q39" s="187"/>
      <c r="R39" s="187"/>
      <c r="S39" s="187"/>
      <c r="T39" s="187"/>
      <c r="U39" s="187"/>
      <c r="V39" s="187"/>
      <c r="W39" s="187"/>
      <c r="X39" s="187"/>
      <c r="Y39" s="187"/>
      <c r="Z39" s="187"/>
      <c r="AA39" s="187"/>
    </row>
  </sheetData>
  <mergeCells count="2">
    <mergeCell ref="B2:M3"/>
    <mergeCell ref="N2:Y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Hojas de cálculo</vt:lpstr>
      </vt:variant>
      <vt:variant>
        <vt:i4>7</vt:i4>
      </vt:variant>
    </vt:vector>
  </HeadingPairs>
  <TitlesOfParts>
    <vt:vector size="7" baseType="lpstr">
      <vt:lpstr>EJECUCIÓN WEB</vt:lpstr>
      <vt:lpstr>METAS</vt:lpstr>
      <vt:lpstr>EJECUCIÓN</vt:lpstr>
      <vt:lpstr>TD-EPA RECURSO</vt:lpstr>
      <vt:lpstr>TD-EPA</vt:lpstr>
      <vt:lpstr>EPA - SIIF</vt:lpstr>
      <vt:lpstr>METAS EJEC. SIC - MINCIT</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Augusto Montaño Patarroyo</dc:creator>
  <cp:lastModifiedBy>Lorena Steffania Barrero Quiñonez</cp:lastModifiedBy>
  <dcterms:created xsi:type="dcterms:W3CDTF">2017-03-02T18:31:21Z</dcterms:created>
  <dcterms:modified xsi:type="dcterms:W3CDTF">2019-05-14T22:47:29Z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